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6" yWindow="65404" windowWidth="19020" windowHeight="9768" tabRatio="836" activeTab="1"/>
  </bookViews>
  <sheets>
    <sheet name="2019-2 (п.11)" sheetId="1" r:id="rId1"/>
    <sheet name="2019-3 СВОД" sheetId="2" r:id="rId2"/>
    <sheet name="1120" sheetId="3" r:id="rId3"/>
    <sheet name="2090" sheetId="4" r:id="rId4"/>
    <sheet name="3110" sheetId="5" r:id="rId5"/>
    <sheet name="3120" sheetId="6" r:id="rId6"/>
    <sheet name="3130" sheetId="7" r:id="rId7"/>
    <sheet name="3140" sheetId="8" r:id="rId8"/>
    <sheet name="3240" sheetId="9" r:id="rId9"/>
    <sheet name="5010" sheetId="10" r:id="rId10"/>
    <sheet name="5020" sheetId="11" r:id="rId11"/>
    <sheet name="5030" sheetId="12" r:id="rId12"/>
    <sheet name="5050" sheetId="13" r:id="rId13"/>
    <sheet name="5060" sheetId="14" r:id="rId14"/>
    <sheet name="6082" sheetId="15" r:id="rId15"/>
    <sheet name="7320" sheetId="16" r:id="rId16"/>
    <sheet name="7360" sheetId="17" r:id="rId17"/>
  </sheets>
  <definedNames>
    <definedName name="_Toc188262781" localSheetId="2">'1120'!$A$1</definedName>
    <definedName name="_Toc188262781" localSheetId="1">'2019-3 СВОД'!#REF!</definedName>
    <definedName name="_Toc188262781" localSheetId="3">'2090'!$A$1</definedName>
    <definedName name="_Toc188262781" localSheetId="4">'3110'!$A$1</definedName>
    <definedName name="_Toc188262781" localSheetId="5">'3120'!$A$1</definedName>
    <definedName name="_Toc188262781" localSheetId="6">'3130'!$A$1</definedName>
    <definedName name="_Toc188262781" localSheetId="7">'3140'!$A$1</definedName>
    <definedName name="_Toc188262781" localSheetId="8">'3240'!$A$1</definedName>
    <definedName name="_Toc188262781" localSheetId="9">'5010'!$A$1</definedName>
    <definedName name="_Toc188262781" localSheetId="10">'5020'!$A$1</definedName>
    <definedName name="_Toc188262781" localSheetId="11">'5030'!$A$1</definedName>
    <definedName name="_Toc188262781" localSheetId="12">'5050'!$A$1</definedName>
    <definedName name="_Toc188262781" localSheetId="13">'5060'!$A$1</definedName>
    <definedName name="_Toc188262781" localSheetId="14">'6082'!$A$1</definedName>
    <definedName name="_Toc188262781" localSheetId="15">'7320'!$A$1</definedName>
    <definedName name="_Toc188262781" localSheetId="16">'7360'!$A$1</definedName>
    <definedName name="_xlnm.Print_Area" localSheetId="2">'1120'!$B$1:$I$153</definedName>
    <definedName name="_xlnm.Print_Area" localSheetId="0">'2019-2 (п.11)'!$A$1:$S$49</definedName>
    <definedName name="_xlnm.Print_Area" localSheetId="1">'2019-3 СВОД'!$B$1:$I$1704</definedName>
    <definedName name="_xlnm.Print_Area" localSheetId="3">'2090'!$B$1:$I$145</definedName>
    <definedName name="_xlnm.Print_Area" localSheetId="4">'3110'!$B$1:$I$138</definedName>
    <definedName name="_xlnm.Print_Area" localSheetId="5">'3120'!$B$1:$I$203</definedName>
    <definedName name="_xlnm.Print_Area" localSheetId="6">'3130'!$B$1:$I$232</definedName>
    <definedName name="_xlnm.Print_Area" localSheetId="7">'3140'!$B$1:$I$135</definedName>
    <definedName name="_xlnm.Print_Area" localSheetId="8">'3240'!$B$1:$I$248</definedName>
    <definedName name="_xlnm.Print_Area" localSheetId="9">'5010'!$B$1:$I$243</definedName>
    <definedName name="_xlnm.Print_Area" localSheetId="10">'5020'!$B$1:$I$249</definedName>
    <definedName name="_xlnm.Print_Area" localSheetId="11">'5030'!$B$1:$I$396</definedName>
    <definedName name="_xlnm.Print_Area" localSheetId="12">'5050'!$B$1:$I$180</definedName>
    <definedName name="_xlnm.Print_Area" localSheetId="13">'5060'!$B$1:$I$280</definedName>
    <definedName name="_xlnm.Print_Area" localSheetId="14">'6082'!$B$1:$I$136</definedName>
    <definedName name="_xlnm.Print_Area" localSheetId="15">'7320'!$A$1:$I$203</definedName>
    <definedName name="_xlnm.Print_Area" localSheetId="16">'7360'!$B$1:$I$212</definedName>
  </definedNames>
  <calcPr fullCalcOnLoad="1"/>
</workbook>
</file>

<file path=xl/comments11.xml><?xml version="1.0" encoding="utf-8"?>
<comments xmlns="http://schemas.openxmlformats.org/spreadsheetml/2006/main">
  <authors>
    <author>dfg</author>
  </authors>
  <commentList>
    <comment ref="C140" authorId="0">
      <text>
        <r>
          <rPr>
            <b/>
            <sz val="8"/>
            <rFont val="Tahoma"/>
            <family val="2"/>
          </rPr>
          <t>dfg:</t>
        </r>
        <r>
          <rPr>
            <sz val="8"/>
            <rFont val="Tahoma"/>
            <family val="2"/>
          </rPr>
          <t xml:space="preserve">
</t>
        </r>
      </text>
    </comment>
  </commentList>
</comments>
</file>

<file path=xl/sharedStrings.xml><?xml version="1.0" encoding="utf-8"?>
<sst xmlns="http://schemas.openxmlformats.org/spreadsheetml/2006/main" count="6485" uniqueCount="620">
  <si>
    <t>КПКВК</t>
  </si>
  <si>
    <t>Найменування</t>
  </si>
  <si>
    <t>…</t>
  </si>
  <si>
    <t>ВСЬОГО</t>
  </si>
  <si>
    <t>(тис. грн)</t>
  </si>
  <si>
    <t>(підпис)</t>
  </si>
  <si>
    <t>(ініціали та прізвище)</t>
  </si>
  <si>
    <t>2020 рік (прогноз)</t>
  </si>
  <si>
    <t>______________________</t>
  </si>
  <si>
    <t>Код</t>
  </si>
  <si>
    <t>Підпрограма 1</t>
  </si>
  <si>
    <t>Підпрограма 2</t>
  </si>
  <si>
    <t>спеціальний фонд</t>
  </si>
  <si>
    <t>загальний фонд</t>
  </si>
  <si>
    <t>Одиниця виміру</t>
  </si>
  <si>
    <t>Джерело інформації</t>
  </si>
  <si>
    <t>затрат</t>
  </si>
  <si>
    <t>продукту</t>
  </si>
  <si>
    <t>ефективності</t>
  </si>
  <si>
    <t>якості</t>
  </si>
  <si>
    <t>№ з/п</t>
  </si>
  <si>
    <t>Коли та яким документом затверджена</t>
  </si>
  <si>
    <t>Короткий зміст заходів за програмою</t>
  </si>
  <si>
    <t>КЕКВ/ККК</t>
  </si>
  <si>
    <t>граничний обсяг</t>
  </si>
  <si>
    <t>Зміна результативних показників, які характеризують виконання бюджетної програми, у разі передбачення додаткових коштів</t>
  </si>
  <si>
    <t>Завдання</t>
  </si>
  <si>
    <t>Наслідки, які настають у разі, якщо додаткові кошти не будуть передбачені у 2018 році, та альтернативні заходи, яких необхідно вжити для забезпечення виконання бюджетної програми</t>
  </si>
  <si>
    <t>індикативні прогнозні показники</t>
  </si>
  <si>
    <t>2019 рік (прогноз) у межах доведених індикативних прогнозних показників</t>
  </si>
  <si>
    <t>2019 рік (прогноз) зміни у разі передбачення додаткових коштів</t>
  </si>
  <si>
    <t>2020 рік (прогноз) у межах доведених індикативних прогнозних показників</t>
  </si>
  <si>
    <t>2020 рік (прогноз) зміни у разі передбачення додаткових коштів</t>
  </si>
  <si>
    <t>……</t>
  </si>
  <si>
    <t>Наслідки, які настають у разі, якщо додаткові кошти не будуть передбачені у 2019 - 2020 роках, та альтернативні заходи, яких необхідно вжити для забезпечення виконання бюджетної програми</t>
  </si>
  <si>
    <t xml:space="preserve">(тис. грн)                                                                                                                                                                                                  </t>
  </si>
  <si>
    <t>необхідно додатково (+)</t>
  </si>
  <si>
    <t>Поточні видатки</t>
  </si>
  <si>
    <t>Оплата праці і нарахування на заробітну плату</t>
  </si>
  <si>
    <t>Оплата праці</t>
  </si>
  <si>
    <t>Капітальні видатки</t>
  </si>
  <si>
    <t>Придбання основного капіталу</t>
  </si>
  <si>
    <t>Заробітна плата</t>
  </si>
  <si>
    <t>Грошове забезпечення військослужбовців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</si>
  <si>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</si>
  <si>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</si>
  <si>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</si>
  <si>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</si>
  <si>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</si>
  <si>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</si>
  <si>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</si>
  <si>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</si>
  <si>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Оплата комунальних послуг та енергоносієв</t>
  </si>
  <si>
    <t>Оплата теплопостачання</t>
  </si>
  <si>
    <t>Оплата водопостачання і водовідведення</t>
  </si>
  <si>
    <t>Оплата електроенергії</t>
  </si>
  <si>
    <t>Оплата природного газу</t>
  </si>
  <si>
    <t>Оплата інших енергоносієв</t>
  </si>
  <si>
    <t>Оплата енергосервісу</t>
  </si>
  <si>
    <t>Дослідження і розробки, видатки державного (регіонального) значення</t>
  </si>
  <si>
    <t>Дослідження і розробки, окремі заходи розвитку по реалізації державних (регіональних) програм</t>
  </si>
  <si>
    <t>Окремі заходи по реалізаціє державних (регіональних) програм, не віднесені до заходів розвитку</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</si>
  <si>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</si>
  <si>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</si>
  <si>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</si>
  <si>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</si>
  <si>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Субсидіє та поточні трансферти підприємствам  (установам, організаціям)</t>
  </si>
  <si>
    <t>Трансферти органам державного управління інших рівнів</t>
  </si>
  <si>
    <t>Трансферти урядам зарубіжних країн та міжнародним організаціям</t>
  </si>
  <si>
    <t>Соціальне забезпечення</t>
  </si>
  <si>
    <t>Виплата пенсій і допомоги</t>
  </si>
  <si>
    <t>Стипендії</t>
  </si>
  <si>
    <t>Інші виплати населенню</t>
  </si>
  <si>
    <t>Інші видатки</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</si>
  <si>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</si>
  <si>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</si>
  <si>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</si>
  <si>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Капітальне будівництво (придбання) інших об'єктів</t>
  </si>
  <si>
    <t>Капітальний ремонт</t>
  </si>
  <si>
    <t>Капітальний ремонт житлового фонду (приміщень)</t>
  </si>
  <si>
    <t>Капітальний ремонт інших об'єктів</t>
  </si>
  <si>
    <t>Реконструкція та реставрація</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</si>
  <si>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</si>
  <si>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</si>
  <si>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</si>
  <si>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</si>
  <si>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</si>
  <si>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</si>
  <si>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</si>
  <si>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</si>
  <si>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зарубіжних країн та міжнародним організаціям</t>
  </si>
  <si>
    <t>Капітальні трансферти населенню</t>
  </si>
  <si>
    <r>
      <t xml:space="preserve">Підпрограма </t>
    </r>
    <r>
      <rPr>
        <b/>
        <u val="single"/>
        <sz val="10"/>
        <rFont val="Times New Roman"/>
        <family val="1"/>
      </rPr>
      <t>Проведення навчально-тренувальних зборів і змагань з олімпійських видів спорту</t>
    </r>
  </si>
  <si>
    <r>
      <t xml:space="preserve">Підпрограма </t>
    </r>
    <r>
      <rPr>
        <b/>
        <u val="single"/>
        <sz val="10"/>
        <rFont val="Times New Roman"/>
        <family val="1"/>
      </rPr>
      <t>Проведення навчально-тренувальних зборів і змагань з неолімпійських видів спорту</t>
    </r>
  </si>
  <si>
    <r>
      <t xml:space="preserve">Програма </t>
    </r>
    <r>
      <rPr>
        <b/>
        <u val="single"/>
        <sz val="10"/>
        <rFont val="Times New Roman"/>
        <family val="1"/>
      </rPr>
      <t>Проведення спортивної роботи в регіоні</t>
    </r>
  </si>
  <si>
    <r>
      <t xml:space="preserve">Програма </t>
    </r>
    <r>
      <rPr>
        <b/>
        <u val="single"/>
        <sz val="10"/>
        <rFont val="Times New Roman"/>
        <family val="1"/>
      </rPr>
      <t>Розвиток дитячо-юнацького та резервного спорту</t>
    </r>
  </si>
  <si>
    <r>
      <t xml:space="preserve">Підпрограма </t>
    </r>
    <r>
      <rPr>
        <b/>
        <u val="single"/>
        <sz val="10"/>
        <rFont val="Times New Roman"/>
        <family val="1"/>
      </rPr>
      <t>Утримання та навчально-тренувальна робота комунальних дитячо-юнацьких спортивних шкіл</t>
    </r>
  </si>
  <si>
    <r>
      <t xml:space="preserve">Підпрограма </t>
    </r>
    <r>
      <rPr>
        <b/>
        <u val="single"/>
        <sz val="10"/>
        <rFont val="Times New Roman"/>
        <family val="1"/>
      </rPr>
      <t>Фінансова підтримка дитячо-юнацьких спортивних шкіл фізкультурно-спортивних товариств</t>
    </r>
  </si>
  <si>
    <r>
      <t xml:space="preserve">Підпрограма </t>
    </r>
    <r>
      <rPr>
        <b/>
        <u val="single"/>
        <sz val="10"/>
        <rFont val="Times New Roman"/>
        <family val="1"/>
      </rPr>
      <t>Забезпечення підготовки спортсменів вищих категорій школами вищої спортивної майстерності</t>
    </r>
  </si>
  <si>
    <r>
      <t xml:space="preserve">Програма </t>
    </r>
    <r>
      <rPr>
        <b/>
        <u val="single"/>
        <sz val="10"/>
        <rFont val="Times New Roman"/>
        <family val="1"/>
      </rPr>
      <t>Фінансова підтримка фізкультурно-спортивного руху</t>
    </r>
  </si>
  <si>
    <r>
      <t xml:space="preserve">Підпрограма </t>
    </r>
    <r>
      <rPr>
        <b/>
        <u val="single"/>
        <sz val="10"/>
        <rFont val="Times New Roman"/>
        <family val="1"/>
      </rPr>
      <t>Фінансова підтримка місцевих осередків (рад) всеукраїнських організацій фізкультурно-спортивної спрямованості</t>
    </r>
  </si>
  <si>
    <r>
      <t xml:space="preserve">Програма </t>
    </r>
    <r>
      <rPr>
        <b/>
        <u val="single"/>
        <sz val="10"/>
        <rFont val="Times New Roman"/>
        <family val="1"/>
      </rPr>
      <t>Інші заходи з розвитку фізичної культури та спорту</t>
    </r>
  </si>
  <si>
    <r>
      <t xml:space="preserve">Підпрограма </t>
    </r>
    <r>
      <rPr>
        <b/>
        <u val="single"/>
        <sz val="10"/>
        <rFont val="Times New Roman"/>
        <family val="1"/>
      </rPr>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r>
  </si>
  <si>
    <r>
      <t xml:space="preserve">Підпрограма </t>
    </r>
    <r>
      <rPr>
        <b/>
        <u val="single"/>
        <sz val="10"/>
        <rFont val="Times New Roman"/>
        <family val="1"/>
      </rPr>
      <t>Підтримка спорту вищих досягнень та організацій, які здійснюють фізкультурно-спортивну діяльність в регіоні</t>
    </r>
  </si>
  <si>
    <r>
      <t xml:space="preserve">Програма </t>
    </r>
    <r>
      <rPr>
        <b/>
        <u val="single"/>
        <sz val="10"/>
        <rFont val="Times New Roman"/>
        <family val="1"/>
      </rPr>
      <t>Підготовка кадрів вищими навчальними закладами І і ІІ рівнів акредитації</t>
    </r>
  </si>
  <si>
    <r>
      <t xml:space="preserve">Програма </t>
    </r>
    <r>
      <rPr>
        <b/>
        <u val="single"/>
        <sz val="10"/>
        <rFont val="Times New Roman"/>
        <family val="1"/>
      </rPr>
      <t>Спеціалізована амбулаторно-поліклінічна допомога населенню</t>
    </r>
  </si>
  <si>
    <t>ВСЬОГО по галузі "Фізична культура та спорт"</t>
  </si>
  <si>
    <t>Головний бухгалтер</t>
  </si>
  <si>
    <t>В.П. Мицик</t>
  </si>
  <si>
    <t>Т.В. Полєвода</t>
  </si>
  <si>
    <t>Забезпечення діяльності обласного центру фізкультурно-оздоровчої роботи</t>
  </si>
  <si>
    <t>Виплата грошових винагород спортсменам-переможцям і призерам Олімпійських, Паралімпійських ігор, чемпіонатів світу та Європи, інших головних міжнародних змагань</t>
  </si>
  <si>
    <t>Виплата стипендій для провідних спортсменів області з олімпійських, неолімпійських видів спорту та спортсменів-інвалідів</t>
  </si>
  <si>
    <t>Надання фінансової підтримки дитячо-юнацьким спортивним школам, що підпорядковані місцевим осередкам Всеукраїнських фізкультурно-спортивних товариств</t>
  </si>
  <si>
    <t>Зміцнення матеріально-технічного забезпечення та покращення умов діяльності комунальних закладів по галузі "Фізична культура та спорт" для проведення спортивної роботи в регіоні</t>
  </si>
  <si>
    <t>Зміцнення матеріально-технічного забезпечення Донецького вищого училища олімпійського резерву ім. С. Бубки</t>
  </si>
  <si>
    <t>Зміцнення матеріально-технічного забезпечення комунального лікарсько-профілактичного закладу «Обласний лікарсько-фізкультурний диспансер»</t>
  </si>
  <si>
    <t>Придбання та доставка тренажерного обладнання для облаштування спортивних майданчиків для розвитку масового спорту</t>
  </si>
  <si>
    <t>Будівництво спортивних майданчиків зі штучним покриттям (42х22) та реконструкція футбольних полів зі штучним покриттям (105х68)</t>
  </si>
  <si>
    <t>Будівництво учбового корпусу на 400 учнів та студентів навчального закладу спортивного профілю ДВУОР ім. С.Бубки по вул. Благовіщенська, м. Бахмут</t>
  </si>
  <si>
    <t>Реконструкція дренажної системи та штучне покриття футбольного поля 105мх68м ДВУОР ІМ.С.БУБКИ по вул. Благовіщенська, м. Бахмут стадіону «Авангард»</t>
  </si>
  <si>
    <t>П'ятиповерховий гуртожиток Донецького вищого училища олімпійського резерву ім. С. Бубки по вул. Благовіщенська 43, м. Бахмут - реконструкція</t>
  </si>
  <si>
    <t>Поліпшення соціально-побутових умов провідних спортсменів області та їх тренерів - надання субвенції(або дотації) місцевим бюджетам області на співфінансування 50% вартості придбання житла</t>
  </si>
  <si>
    <t>%</t>
  </si>
  <si>
    <t>од.</t>
  </si>
  <si>
    <t>-</t>
  </si>
  <si>
    <t>Затрат</t>
  </si>
  <si>
    <t>Кількість закладів</t>
  </si>
  <si>
    <t>Звітність установи</t>
  </si>
  <si>
    <t>Середньорічне число ставок педагогічного персоналу</t>
  </si>
  <si>
    <t>Штатний розпис</t>
  </si>
  <si>
    <t xml:space="preserve">з них педагогічний персонал, оплата праці якого здійснюється за рахунок коштів освітньої субвенції з Державного бюджету місцевим бюджетам </t>
  </si>
  <si>
    <t>Середньорічне число штатних одиниць адмінперсоналу, за умовами оплати віднесених до педагогічного персоналу</t>
  </si>
  <si>
    <t>Середньорічне число штатних одиниць спеціалістів</t>
  </si>
  <si>
    <t>Середньорічне число штатних одиниць робітників</t>
  </si>
  <si>
    <t>Кількість штатних одиниць всього - середньорічне число ставок (штатних одиниць)</t>
  </si>
  <si>
    <t>Продукту</t>
  </si>
  <si>
    <t>Середньорічна кількість студентів денної форми навчання</t>
  </si>
  <si>
    <t>осіб.</t>
  </si>
  <si>
    <t>Середньорічна кількість стипендіатів за рахунок коштів бюджету</t>
  </si>
  <si>
    <t>Середньорічна кількість дітей-сиріт, які знаходяться під опікою</t>
  </si>
  <si>
    <t>Кількість осіб, прийнятих на I курс на денну форму навчання</t>
  </si>
  <si>
    <t>Кількість випускників</t>
  </si>
  <si>
    <t>Ефективності</t>
  </si>
  <si>
    <t>Витрати на одного студента</t>
  </si>
  <si>
    <t>грн.</t>
  </si>
  <si>
    <t>Розрахунок установи</t>
  </si>
  <si>
    <t>Якості</t>
  </si>
  <si>
    <t>Відсоток студентів, які отримають відповідний документ про освіту</t>
  </si>
  <si>
    <t>Обсяг витрат на придбання матеріально-технічних засобів</t>
  </si>
  <si>
    <t>тис. грн.</t>
  </si>
  <si>
    <t>Кількість придбаних матеріально-технічних засобів</t>
  </si>
  <si>
    <t>Середня вартість одиниці придбаного матеріально-технічного засобу</t>
  </si>
  <si>
    <t>Відсоток забезпеченості матеріально-технічними засобами</t>
  </si>
  <si>
    <r>
      <t xml:space="preserve">Завдання 1: </t>
    </r>
    <r>
      <rPr>
        <sz val="10"/>
        <color indexed="8"/>
        <rFont val="Times New Roman"/>
        <family val="1"/>
      </rPr>
      <t>Забезпечити підготовку для регіону фахівців (молодший спеціаліст з фізичного виховання, спорту та здоровя людини, кваліфікація: інструктор-методист з фізичного виховання) у Донецькому вищому училищі олімпійського резерву ім. С. Бубки (І рівень акредитації)</t>
    </r>
  </si>
  <si>
    <r>
      <t xml:space="preserve">Завдання 2: </t>
    </r>
    <r>
      <rPr>
        <sz val="10"/>
        <color indexed="8"/>
        <rFont val="Times New Roman"/>
        <family val="1"/>
      </rPr>
      <t>Зміцнення матеріально-технічного забезпечення Донецького вищого училища олімпійського резерву ім. С. Бубки</t>
    </r>
  </si>
  <si>
    <t>упре</t>
  </si>
  <si>
    <t>прочие</t>
  </si>
  <si>
    <t>Реконструкція комплексу будівель для розміщення Обласного лікарсько-фізкультурного диспансеру, водолікарні з басейном, гуртожитку, що розташовані за адресою: вулиця О.Сибірцева, 3 у м. Бахмут, Донецької області</t>
  </si>
  <si>
    <t>Директор департаменту</t>
  </si>
  <si>
    <t>1.         Департамент сім'ї, молоді та спорту облдержадміністрації                                         (1) (1)</t>
  </si>
  <si>
    <t>Підпрограма Заходи державнох політики із забезпечення рівних прав та можливостей жінок та чоловіків</t>
  </si>
  <si>
    <t>Підпрограма Заходи державнох політики з питань сім'ї</t>
  </si>
  <si>
    <t>Програма Здійснення соціальної роботи з вразливими категоріями населення</t>
  </si>
  <si>
    <t>Програма Оздоровлення та відпочинок дітей (крім заходів з оздоровлення дітей, що здійснюється за рахунок коштів на оздоровлення громадян, які постраждали внслідок Чорнобильської катастрофи)</t>
  </si>
  <si>
    <t>Програма Інші заходи та заклади</t>
  </si>
  <si>
    <t>Програма Реалізація інших заходів щодо соціально-економічного розвитку територій</t>
  </si>
  <si>
    <t>Програма Інші субвенції з місцевого бюджету</t>
  </si>
  <si>
    <t>Програма Заклади та заходи з питань дітей та їх соціального захисту</t>
  </si>
  <si>
    <t>Підпрограма Утримання закладів, які надають соціальні послуги дітям, які опинились у складних життєвих обставинах</t>
  </si>
  <si>
    <t>Підпрограма Здійснення заходів та реалізація проектів на виконання Державної цільової програми "Молодь України"</t>
  </si>
  <si>
    <t>Підпрограма Інші заходи та заклади молодіжної політики</t>
  </si>
  <si>
    <t>Підпрограма Забезпечення діяльності інших закладів у сфері соціального захисту і соціального забезпечення</t>
  </si>
  <si>
    <t>Підпрограма Інші заходи у сфері соціального захисту і соціального забезпечення</t>
  </si>
  <si>
    <t>ВСЬОГО по галузі "Соціальний захист та соціальне забезпечення"</t>
  </si>
  <si>
    <t>2017 рік (звіт)</t>
  </si>
  <si>
    <t>2018 рік (затверджено)</t>
  </si>
  <si>
    <t>2019 рік (проект)</t>
  </si>
  <si>
    <t>2021 рік (прогноз)</t>
  </si>
  <si>
    <t>11. Місцеві/регіональні програми (у тому числі Програма економічного і соціального розвитку Донецької області), які виконуються у 2017-2021 роках  в межах бюджетної програми</t>
  </si>
  <si>
    <t>Найменування місцевої/регіональної програми</t>
  </si>
  <si>
    <t>разом</t>
  </si>
  <si>
    <t>Програма економічного і соціального розвитку Донецької області на 2019 рік та основні напрями розвитку на 2020-2021 роки</t>
  </si>
  <si>
    <t>розпорядження голови облдержадміністрації, керівника обласної військово-цивільної адміністрації від 30 січня 2018 року №119/5-18 (із змінами)</t>
  </si>
  <si>
    <t>Капітальний ремонт подвір'я з улаштуванням пандуса адмінбудівлі КПНЗ "СДЮСШОР з велосипедного спорту" у м. Лиман, встановлення протипожежної сигналізації</t>
  </si>
  <si>
    <t>Підготовчі роботи щодо будівництва Олімпійської спортивної бази у місті Святогірськ - топографічна зйомка, виготовлення проекту землеустрою</t>
  </si>
  <si>
    <t>Розробка проектно-кошторисної документації для будівництва нового спортивного комплексу для розвитку велоспорту (готель, траса ВМХ, спортивні майданчики) у м. Лиман.</t>
  </si>
  <si>
    <t>Реконструкція Дружковської загальноосвітньої школи-інтерната I-II ступенів № 1 по вул. Радченко, 64 м. Дружківка Донецької області</t>
  </si>
  <si>
    <t>Реконструкція будівлі комунального закладу «Донецький обласний центр ресоціалізації наркозалежної молоді» за адресою: с. Миколайпілля, вул. Піонерська, будинок 1-а, Костянтинівський район, Донецької області</t>
  </si>
  <si>
    <t>Забезпечення літнього оздоровлення дітей, які потребують особливої соціальної уваги та підтримки, збереження та розвиток дитячих установ, що знаходяться в управлінні профспілкових організацій</t>
  </si>
  <si>
    <t>Організація заходів щодо оздоровлення дітей, що виховуються в сім'ях з дітьми, шляхом відшкодування вартості путівок за рахунок коштів місцевих бюджетів, роботодавців, профспілок та інших джерел</t>
  </si>
  <si>
    <t xml:space="preserve">Утримання соціальних закладів обласної комунальної власності з метою надання соціальних послуг особам, які опинились в складних життєвих обставинах </t>
  </si>
  <si>
    <t>Утримання КЗ "Донецький обласний дитячо-молодіжний центр" з метою надання освітніх послуг щодо розвитку творчих здібностей дітей та молоді</t>
  </si>
  <si>
    <t>Проведення заходів з оздоровлення та відпочинку дітей, які потребують особливої соціальної уваги та підтримки</t>
  </si>
  <si>
    <t>Забезпечення роботи Центру методичного забезпечення дитячого оздоровлення та відпочинку</t>
  </si>
  <si>
    <t>Проведення обласного конкурсу, спрямованого на підтримку талановитої молоді та дітей, громадських організацій та ініціатив, інституційну пітримку молодіжних центрів</t>
  </si>
  <si>
    <t>Придбання відновлювально-реабілітаційного обладнання та гімнастичного інвентаря для комунального закладу "Донецький обласний центр соціально-психологічної реабілітації дітей та молоді з функціональними обмеженнями"</t>
  </si>
  <si>
    <t>Створення молодіжних центрів у містах, районах, об'єднаних територіальних громадах Донецької області в рамках реалізації проекту "Гідна країна для гідних людей"</t>
  </si>
  <si>
    <t>Заходи щодо забезпечення техногенної безпеки в КП "ОДМСОК "Перлина Донеччини"</t>
  </si>
  <si>
    <t>Придбання житла та надання матеріальної допомоги на придбання автомобілів для багатодітних сімей (відповідно до окремого порядку, затвердженого розпорядженням голови Донецької облдержадміністрації, керівника військово-цивільної адміністрації)</t>
  </si>
  <si>
    <t>Створення та облаштування наметових майданчиків для відпочинку молоді та дітей</t>
  </si>
  <si>
    <t>(найменування бюджетної програми</t>
  </si>
  <si>
    <t xml:space="preserve">        КПКВК</t>
  </si>
  <si>
    <r>
      <t xml:space="preserve">4. Додаткові витрати </t>
    </r>
    <r>
      <rPr>
        <b/>
        <sz val="12"/>
        <rFont val="Times New Roman"/>
        <family val="1"/>
      </rPr>
      <t xml:space="preserve"> обласного бюджету</t>
    </r>
  </si>
  <si>
    <r>
      <t xml:space="preserve">4.1. Додаткові витрати </t>
    </r>
    <r>
      <rPr>
        <b/>
        <sz val="12"/>
        <rFont val="Times New Roman"/>
        <family val="1"/>
      </rPr>
      <t xml:space="preserve"> обласного бюджету на 2019 (плановий) рік за бюджетними програмами</t>
    </r>
  </si>
  <si>
    <t>2.         Департамент сім'ї, молоді та спорту облдержадміністрації                                         (1) (1)</t>
  </si>
  <si>
    <t xml:space="preserve">                (найменування головного розпорядника коштів обласного бюджету)                                                                  КВК</t>
  </si>
  <si>
    <t xml:space="preserve">                (найменування відповідального виконавця)                                                                                                           КВК</t>
  </si>
  <si>
    <t>Обґрунтування необхідності додаткових коштів  на 2019 рік (обов’язкове посилання на нормативний документ, відповідно до якого існує необхідність у додаткових коштах)</t>
  </si>
  <si>
    <t>4.2. Об'єкти, які виконуються в межах бюджетної програми за рахунок коштів бюджету розвитку  у 2017 - 2019 роках</t>
  </si>
  <si>
    <t>Підсумковий рядок таблиці пункту 4.1</t>
  </si>
  <si>
    <t>4.3. Додаткові видатки / надання кредитів загального фонду обласного бюджету на 2019 - 2020 (прогнозні) роки за бюджетними програмами</t>
  </si>
  <si>
    <t>Обґрунтування необхідності додаткових коштів  на 2020 - 2021 роки (обов’язкове посилання на нормативний документ, відповідно до якого існує необхідність у додаткових коштах)</t>
  </si>
  <si>
    <t>Підсумковий рядок таблиці пункту 4.3</t>
  </si>
  <si>
    <t>2019 рік (проект) в межах доведених граничних обсягів</t>
  </si>
  <si>
    <t>2019 рік (проект) зміни у разі передбачення додаткових коштів</t>
  </si>
  <si>
    <r>
      <t>3.</t>
    </r>
    <r>
      <rPr>
        <b/>
        <sz val="7"/>
        <rFont val="Times New Roman"/>
        <family val="1"/>
      </rPr>
      <t xml:space="preserve">      </t>
    </r>
    <r>
      <rPr>
        <b/>
        <sz val="12"/>
        <rFont val="Times New Roman"/>
        <family val="1"/>
      </rPr>
      <t xml:space="preserve">Підготовка кадрів вищими навчальними закладами І і ІІ рівнів акредитації                      </t>
    </r>
    <r>
      <rPr>
        <sz val="12"/>
        <rFont val="Times New Roman"/>
        <family val="1"/>
      </rPr>
      <t>(1) (1) (1 (1) (1) (2) (0)</t>
    </r>
  </si>
  <si>
    <t>Бюджетний запит на 2019 – 2021 роки додатковий (Форма 2019-3)</t>
  </si>
  <si>
    <t>Бюджетний запит на 2019 – 2021 роки додатковий (Форма 2019-3) ЗВЕДЕНИЙ</t>
  </si>
  <si>
    <t>Розробка проектно-кошторисної документації та отримання експертного звіту \ щодо будівництва Олімпійської спортивної бази у місті Святогірськ</t>
  </si>
  <si>
    <t>Будівництво спортивного комплексу для розвитку велоспорту (готель, траса ВМХ, спортивні майданчики) у м. Лиман - 1 черга</t>
  </si>
  <si>
    <t xml:space="preserve">Надання фінансової підтримки на утримання обласних осередків всеукраїнських організацій фізкультурно-спортивної спрямованості "Динамо" та "Спартак" </t>
  </si>
  <si>
    <t>Зміцнення матеріально-технічного забезпечення та покращення умов діяльності комунальних закладів по галузі "Соціальний захист та соціальне забезпечення"</t>
  </si>
  <si>
    <t>Розширення надання соціальних послуг серед молоді, яка пройшла курс лікування від наркотичної залежності</t>
  </si>
  <si>
    <t>Забезпечення навчально-тренувального процесу та проведення спортивних заходів Донецького вищого училища олімпійського резерву ім.С.Бубки</t>
  </si>
  <si>
    <t>ВСЬОГО соціальна сфера по головному розпоряднику</t>
  </si>
  <si>
    <t>Програма Реалізація державних та місцевих житлових програм</t>
  </si>
  <si>
    <t>Підпрограма Придбання житла для окремих категорій населення відповідно до законодавства</t>
  </si>
  <si>
    <t>Програма Будівництво об'єктів соціально-культурного призначення</t>
  </si>
  <si>
    <t>Підпрограма Будівництво установ та закладів соціальної сфери</t>
  </si>
  <si>
    <t>Підпрограма Будівництво споруд, установ та закладів фізичної культури і спорту</t>
  </si>
  <si>
    <t>Програма Виконання інвестиційних проектів</t>
  </si>
  <si>
    <t>Підпрограма Співфінансування інвестиційних проектів, що реалізуються за рахунок коштів державного фонду регіонального розвитку</t>
  </si>
  <si>
    <t>Підпрограма Реалiзацiя проектiв в рамках Надзвичайної кредитної програми для вiдновлення України</t>
  </si>
  <si>
    <t>ВСЬОГО по головному розпоряднику (Будівництво)</t>
  </si>
  <si>
    <r>
      <t>3.</t>
    </r>
    <r>
      <rPr>
        <b/>
        <sz val="7"/>
        <rFont val="Times New Roman"/>
        <family val="1"/>
      </rPr>
      <t xml:space="preserve">      </t>
    </r>
    <r>
      <rPr>
        <b/>
        <sz val="12"/>
        <rFont val="Times New Roman"/>
        <family val="1"/>
      </rPr>
      <t xml:space="preserve">Спеціалізована амбулаторно-поліклінічна допомога населенню                                           </t>
    </r>
    <r>
      <rPr>
        <sz val="12"/>
        <rFont val="Times New Roman"/>
        <family val="1"/>
      </rPr>
      <t>(1) (1) (1 (2) (0) (9) (0)</t>
    </r>
  </si>
  <si>
    <r>
      <t>3.</t>
    </r>
    <r>
      <rPr>
        <b/>
        <sz val="7"/>
        <rFont val="Times New Roman"/>
        <family val="1"/>
      </rPr>
      <t xml:space="preserve">      </t>
    </r>
    <r>
      <rPr>
        <b/>
        <sz val="12"/>
        <rFont val="Times New Roman"/>
        <family val="1"/>
      </rPr>
      <t xml:space="preserve">Заклади та заходи з питань дітей та їх соціального захисту                                                </t>
    </r>
    <r>
      <rPr>
        <sz val="12"/>
        <rFont val="Times New Roman"/>
        <family val="1"/>
      </rPr>
      <t>(1) (1) (1 (3) (1) (1) (0)</t>
    </r>
  </si>
  <si>
    <r>
      <t>3.</t>
    </r>
    <r>
      <rPr>
        <b/>
        <sz val="7"/>
        <rFont val="Times New Roman"/>
        <family val="1"/>
      </rPr>
      <t xml:space="preserve">      </t>
    </r>
    <r>
      <rPr>
        <b/>
        <sz val="12"/>
        <rFont val="Times New Roman"/>
        <family val="1"/>
      </rPr>
      <t xml:space="preserve"> Здійснення соціальної роботи з вразливими категоріями населення                                  </t>
    </r>
    <r>
      <rPr>
        <sz val="12"/>
        <rFont val="Times New Roman"/>
        <family val="1"/>
      </rPr>
      <t>(1) (1) (1 (3) (1) (2) (0)</t>
    </r>
  </si>
  <si>
    <r>
      <t>3.</t>
    </r>
    <r>
      <rPr>
        <b/>
        <sz val="7"/>
        <rFont val="Times New Roman"/>
        <family val="1"/>
      </rPr>
      <t xml:space="preserve">           </t>
    </r>
    <r>
      <rPr>
        <b/>
        <sz val="12"/>
        <rFont val="Times New Roman"/>
        <family val="1"/>
      </rPr>
      <t xml:space="preserve"> Інші заходи та заклади молодіжної політики                                                                          </t>
    </r>
    <r>
      <rPr>
        <sz val="12"/>
        <rFont val="Times New Roman"/>
        <family val="1"/>
      </rPr>
      <t>(1) (1) (1 (3) (1) (3) (0)</t>
    </r>
  </si>
  <si>
    <t xml:space="preserve">3.     Оздоровлення та відпочинок дітей (крім заходів з оздоровлення дітей, що здійснюється за рахунок коштів на оздоровлення громадян, які постраждали внслідок Чорнобильської катастрофи)                      </t>
  </si>
  <si>
    <t>(1) (1) (1 (3) (1) (4) (0)</t>
  </si>
  <si>
    <r>
      <t>3.</t>
    </r>
    <r>
      <rPr>
        <b/>
        <sz val="7"/>
        <rFont val="Times New Roman"/>
        <family val="1"/>
      </rPr>
      <t xml:space="preserve">                    </t>
    </r>
    <r>
      <rPr>
        <b/>
        <sz val="12"/>
        <rFont val="Times New Roman"/>
        <family val="1"/>
      </rPr>
      <t xml:space="preserve">Інші заходи та заклади                                                                                                         </t>
    </r>
    <r>
      <rPr>
        <sz val="12"/>
        <rFont val="Times New Roman"/>
        <family val="1"/>
      </rPr>
      <t>(1) (1) (1 (3) (2) (4) (0)</t>
    </r>
  </si>
  <si>
    <r>
      <t>3.</t>
    </r>
    <r>
      <rPr>
        <b/>
        <sz val="7"/>
        <rFont val="Times New Roman"/>
        <family val="1"/>
      </rPr>
      <t xml:space="preserve">      </t>
    </r>
    <r>
      <rPr>
        <b/>
        <sz val="12"/>
        <rFont val="Times New Roman"/>
        <family val="1"/>
      </rPr>
      <t xml:space="preserve">           Проведення спортивної роботи в регіоні                                                                             </t>
    </r>
    <r>
      <rPr>
        <sz val="12"/>
        <rFont val="Times New Roman"/>
        <family val="1"/>
      </rPr>
      <t>(1) (1) (1 (5) (0) (1) (0)</t>
    </r>
  </si>
  <si>
    <r>
      <t xml:space="preserve">Програма </t>
    </r>
    <r>
      <rPr>
        <b/>
        <u val="single"/>
        <sz val="10"/>
        <rFont val="Times New Roman"/>
        <family val="1"/>
      </rPr>
      <t xml:space="preserve">Здійснення фізкультурно-спортивної та реабілітаційної роботи серед осіб з інвалідністю </t>
    </r>
  </si>
  <si>
    <r>
      <t xml:space="preserve">Підпрограма </t>
    </r>
    <r>
      <rPr>
        <b/>
        <u val="single"/>
        <sz val="10"/>
        <rFont val="Times New Roman"/>
        <family val="1"/>
      </rPr>
      <t>Утримання центрів з фізичної культури і спорту осіб з інвалідністю та реабілітаційних шкіл</t>
    </r>
  </si>
  <si>
    <r>
      <t xml:space="preserve">Підпрограма </t>
    </r>
    <r>
      <rPr>
        <b/>
        <u val="single"/>
        <sz val="10"/>
        <rFont val="Times New Roman"/>
        <family val="1"/>
      </rPr>
      <t>Проведення навчально-тренувальних зборів і змагань та заходів зі спорту для осіб з інвалідністю</t>
    </r>
  </si>
  <si>
    <r>
      <t>3.</t>
    </r>
    <r>
      <rPr>
        <b/>
        <sz val="7"/>
        <rFont val="Times New Roman"/>
        <family val="1"/>
      </rPr>
      <t xml:space="preserve">                  </t>
    </r>
    <r>
      <rPr>
        <b/>
        <sz val="12"/>
        <rFont val="Times New Roman"/>
        <family val="1"/>
      </rPr>
      <t xml:space="preserve">Здійснення фізкультурно-спортивної та реабілітаційної роботи серед осіб з інвалідністю      </t>
    </r>
    <r>
      <rPr>
        <sz val="12"/>
        <rFont val="Times New Roman"/>
        <family val="1"/>
      </rPr>
      <t>(1) (1) (1 (5) (0) (2) (0)</t>
    </r>
  </si>
  <si>
    <r>
      <t>3.</t>
    </r>
    <r>
      <rPr>
        <b/>
        <sz val="7"/>
        <rFont val="Times New Roman"/>
        <family val="1"/>
      </rPr>
      <t xml:space="preserve">      </t>
    </r>
    <r>
      <rPr>
        <b/>
        <sz val="12"/>
        <rFont val="Times New Roman"/>
        <family val="1"/>
      </rPr>
      <t xml:space="preserve">       Розвиток дитячо-юнацького та резервного спорту                                                   </t>
    </r>
    <r>
      <rPr>
        <sz val="12"/>
        <rFont val="Times New Roman"/>
        <family val="1"/>
      </rPr>
      <t>(1) (1) (1 (5) (0) (3) (0)</t>
    </r>
  </si>
  <si>
    <r>
      <t>3.</t>
    </r>
    <r>
      <rPr>
        <b/>
        <sz val="7"/>
        <rFont val="Times New Roman"/>
        <family val="1"/>
      </rPr>
      <t xml:space="preserve">             </t>
    </r>
    <r>
      <rPr>
        <b/>
        <sz val="12"/>
        <rFont val="Times New Roman"/>
        <family val="1"/>
      </rPr>
      <t xml:space="preserve">Фінансова підтримка фізкультурно-спортивного руху                                              </t>
    </r>
    <r>
      <rPr>
        <sz val="12"/>
        <rFont val="Times New Roman"/>
        <family val="1"/>
      </rPr>
      <t>(1) (1) (1 (5) (0) (5) (0)</t>
    </r>
  </si>
  <si>
    <r>
      <t>3.</t>
    </r>
    <r>
      <rPr>
        <b/>
        <sz val="7"/>
        <rFont val="Times New Roman"/>
        <family val="1"/>
      </rPr>
      <t xml:space="preserve">      </t>
    </r>
    <r>
      <rPr>
        <b/>
        <sz val="12"/>
        <rFont val="Times New Roman"/>
        <family val="1"/>
      </rPr>
      <t xml:space="preserve">      Інші заходи з розвитку фізичної культури та спорту                                              </t>
    </r>
    <r>
      <rPr>
        <sz val="12"/>
        <rFont val="Times New Roman"/>
        <family val="1"/>
      </rPr>
      <t>(1) (1) (1 (5) (0) (6) (0)</t>
    </r>
  </si>
  <si>
    <r>
      <t>3.</t>
    </r>
    <r>
      <rPr>
        <b/>
        <sz val="7"/>
        <rFont val="Times New Roman"/>
        <family val="1"/>
      </rPr>
      <t xml:space="preserve">      </t>
    </r>
    <r>
      <rPr>
        <b/>
        <sz val="12"/>
        <rFont val="Times New Roman"/>
        <family val="1"/>
      </rPr>
      <t xml:space="preserve">     Реалізація державних та місцевих житлових програм                                     </t>
    </r>
    <r>
      <rPr>
        <sz val="12"/>
        <rFont val="Times New Roman"/>
        <family val="1"/>
      </rPr>
      <t>(1) (1) (1 (6) (0) (8) (0)</t>
    </r>
  </si>
  <si>
    <r>
      <t>3.</t>
    </r>
    <r>
      <rPr>
        <b/>
        <sz val="7"/>
        <rFont val="Times New Roman"/>
        <family val="1"/>
      </rPr>
      <t xml:space="preserve">      </t>
    </r>
    <r>
      <rPr>
        <b/>
        <sz val="12"/>
        <rFont val="Times New Roman"/>
        <family val="1"/>
      </rPr>
      <t xml:space="preserve">          Будівництво об'єктів соціально-культурного призначення                                         </t>
    </r>
    <r>
      <rPr>
        <sz val="12"/>
        <rFont val="Times New Roman"/>
        <family val="1"/>
      </rPr>
      <t>(1) (1) (1 (7) (3) (2) (0)</t>
    </r>
  </si>
  <si>
    <r>
      <t>3.</t>
    </r>
    <r>
      <rPr>
        <b/>
        <sz val="7"/>
        <rFont val="Times New Roman"/>
        <family val="1"/>
      </rPr>
      <t xml:space="preserve">      </t>
    </r>
    <r>
      <rPr>
        <b/>
        <sz val="12"/>
        <rFont val="Times New Roman"/>
        <family val="1"/>
      </rPr>
      <t xml:space="preserve">          </t>
    </r>
    <r>
      <rPr>
        <sz val="12"/>
        <rFont val="Times New Roman"/>
        <family val="1"/>
      </rPr>
      <t>Виконання інвестиційних проектів</t>
    </r>
    <r>
      <rPr>
        <b/>
        <sz val="12"/>
        <rFont val="Times New Roman"/>
        <family val="1"/>
      </rPr>
      <t xml:space="preserve">                                                                                           </t>
    </r>
    <r>
      <rPr>
        <sz val="12"/>
        <rFont val="Times New Roman"/>
        <family val="1"/>
      </rPr>
      <t>(1) (1) (1 (7) (3) (6) (0)</t>
    </r>
  </si>
  <si>
    <r>
      <t xml:space="preserve">Завдання 1: </t>
    </r>
    <r>
      <rPr>
        <sz val="10"/>
        <color indexed="8"/>
        <rFont val="Times New Roman"/>
        <family val="1"/>
      </rPr>
      <t>Забезпечення рівня надання медичної допомоги та збереження здоров’я спортсменів</t>
    </r>
  </si>
  <si>
    <t>Кількість установ</t>
  </si>
  <si>
    <t>Кількість штатних одиниць, всього</t>
  </si>
  <si>
    <t>в т.ч. лікарів</t>
  </si>
  <si>
    <t>Кількість лікарських відвідувань</t>
  </si>
  <si>
    <t>тис. од.</t>
  </si>
  <si>
    <t>Кількість пацієнтів на одного лікаря</t>
  </si>
  <si>
    <t>осіб</t>
  </si>
  <si>
    <t>Зниження рівня захворюваності серед спортсменів у порівнянні з минулим роком</t>
  </si>
  <si>
    <t>Статистична звітність</t>
  </si>
  <si>
    <r>
      <t xml:space="preserve">Завдання 2: </t>
    </r>
    <r>
      <rPr>
        <sz val="10"/>
        <color indexed="8"/>
        <rFont val="Times New Roman"/>
        <family val="1"/>
      </rPr>
      <t>Зміцнення матеріально-технічного забезпечення комунального лікарсько-профілактичного закладу «Обласний лікарсько-фізкультурний диспансер»</t>
    </r>
  </si>
  <si>
    <r>
      <t xml:space="preserve">Завдання 1: </t>
    </r>
    <r>
      <rPr>
        <sz val="10"/>
        <color indexed="8"/>
        <rFont val="Times New Roman"/>
        <family val="1"/>
      </rPr>
      <t>Проведення навчально-тренувальних зборів з олімпійських видів спорту з підготовки до всеукраїнських змагань</t>
    </r>
  </si>
  <si>
    <t>Кількість навчально-тренувальних зборів з олімпійських видів спорту з підготовки до всеукраїнських змагань</t>
  </si>
  <si>
    <t>Кількість людино-днів навчально-тренувальних зборів з олімпійських видів спорту з підготовки до всеукраїнських змагань</t>
  </si>
  <si>
    <t>Середні витрати на один людино-день навчально-тренувальних зборів з олімпійських видів спорту з підготовки до всеукраїнських змагань</t>
  </si>
  <si>
    <t>Динаміка кількості навчально-тренувальних зборів з олімпійських видів спорту з підготовки до всеукраїнських змагань порівняно з минулим роком</t>
  </si>
  <si>
    <t>Календарний план спортивно-масових заходів</t>
  </si>
  <si>
    <t>Інформація установи</t>
  </si>
  <si>
    <r>
      <t xml:space="preserve">Завдання 2: </t>
    </r>
    <r>
      <rPr>
        <sz val="10"/>
        <color indexed="8"/>
        <rFont val="Times New Roman"/>
        <family val="1"/>
      </rPr>
      <t>Організація і проведення регіональних змагань з олімпійських видів спорту</t>
    </r>
  </si>
  <si>
    <t>Кількість регіональних змагань з олімпійських видів спорту</t>
  </si>
  <si>
    <t>Кількість людино-днів участі у регіональних змаганнях з олімпійських видів спорту</t>
  </si>
  <si>
    <t>Середні витрати на один людино-день участі у регіональних змаганнях з олімпійських видів спорту</t>
  </si>
  <si>
    <t>Динаміка кількості спортсменів, які беруть участь у регіональних змаганнях, порівняно з минулим роком</t>
  </si>
  <si>
    <t>У тому числі динаміка кількості спортсменів, які посіли призові місця у вказаних змаганнях, порівняно з минулим роком</t>
  </si>
  <si>
    <r>
      <t xml:space="preserve">Завдання 3: </t>
    </r>
    <r>
      <rPr>
        <sz val="10"/>
        <color indexed="8"/>
        <rFont val="Times New Roman"/>
        <family val="1"/>
      </rPr>
      <t xml:space="preserve">Представлення спортивних досягнень спортсменами збірних команд області на всеукраїнських змаганнях з олімпійських видів спорту </t>
    </r>
  </si>
  <si>
    <t>Кількість всеукраїнських змагань з олімпійських видів спорту, в яких беруть участь спортсмени збірних команд області</t>
  </si>
  <si>
    <t>Кількість спортсменів збірних команд області, які беруть участь у всеукраїнських змаганнях з олімпійських видів спорту</t>
  </si>
  <si>
    <t>Середні витрати на забезпечення участі (проїзд, добові в дорозі) та розміщення одного спортсмена збірних команд області у всеукраїнських змаганнях з олімпійських видів спорту</t>
  </si>
  <si>
    <t>Кількість спортсменів регіону, які протягом року посіли призові місця у всеукраїнських змаганнях з олімпійських видів спорту</t>
  </si>
  <si>
    <t>Динаміка кількості спортсменів регіону, які посіли призові місця у всеукраїнських змаганнях з олімпійських видів спорту, порівняно з минулим роком</t>
  </si>
  <si>
    <t>Кількість навчально-тренувальних зборів з неолімпійських видів спорту з підготовки до всеукраїнських змагань</t>
  </si>
  <si>
    <t>Кількість людино-днів навчально-тренувальних зборів з неолімпійських видів спорту з підготовки до всеукраїнських змагань</t>
  </si>
  <si>
    <t>Середні витрати на один людино-день навчально-тренувальних зборів з неолімпійських видів спорту з підготовки до всеукраїнських змагань</t>
  </si>
  <si>
    <t>Динаміка кількості навчально-тренувальних зборів з неолімпійських видів спорту з підготовки до всеукраїнських змагань порівняно з минулим роком</t>
  </si>
  <si>
    <r>
      <t xml:space="preserve">Завдання 2: </t>
    </r>
    <r>
      <rPr>
        <sz val="10"/>
        <color indexed="8"/>
        <rFont val="Times New Roman"/>
        <family val="1"/>
      </rPr>
      <t>Організація і проведення регіональних змагань з неолімпійських видів спорту</t>
    </r>
  </si>
  <si>
    <r>
      <t xml:space="preserve">Завдання 1: </t>
    </r>
    <r>
      <rPr>
        <sz val="10"/>
        <color indexed="8"/>
        <rFont val="Times New Roman"/>
        <family val="1"/>
      </rPr>
      <t>Проведення навчально-тренувальних зборів з неолімпійських видів спорту з підготовки до всеукраїнських змагань</t>
    </r>
  </si>
  <si>
    <t>Кількість регіональних змагань з неолімпійських видів спорту</t>
  </si>
  <si>
    <t>Кількість людино-днів участі у регіональних змаганнях з неолімпійських видів спорту</t>
  </si>
  <si>
    <t>Середні витрати на один людино-день участі у регіональних змаганнях з неолімпійських видів спорту</t>
  </si>
  <si>
    <r>
      <t xml:space="preserve">Завдання 3: </t>
    </r>
    <r>
      <rPr>
        <sz val="10"/>
        <color indexed="8"/>
        <rFont val="Times New Roman"/>
        <family val="1"/>
      </rPr>
      <t xml:space="preserve">Представлення спортивних досягнень спортсменами збірних команд області на всеукраїнських змаганнях з неолімпійських видів спорту </t>
    </r>
  </si>
  <si>
    <t>Кількість всеукраїнських змагань з неолімпійських видів спорту, в яких беруть участь спортсмени збірних команд області</t>
  </si>
  <si>
    <t>Кількість спортсменів збірних команд області, які беруть участь у всеукраїнських змаганнях з неолімпійських видів спорту</t>
  </si>
  <si>
    <t>Середні витрати на забезпечення участі (проїзд, добові в дорозі) та розміщення одного спортсмена збірних команд області у всеукраїнських змаганнях з неолімпійських видів спорту</t>
  </si>
  <si>
    <t>Кількість спортсменів регіону, які протягом року посіли призові місця у всеукраїнських змаганнях з неолімпійських видів спорту</t>
  </si>
  <si>
    <t>Динаміка кількості спортсменів регіону, які посіли призові місця у всеукраїнських змаганнях з неолімпійських видів спорту, порівняно з минулим роком</t>
  </si>
  <si>
    <r>
      <t xml:space="preserve">Завдання 1: </t>
    </r>
    <r>
      <rPr>
        <sz val="10"/>
        <color indexed="8"/>
        <rFont val="Times New Roman"/>
        <family val="1"/>
      </rPr>
      <t>Функціонування регіональних центрів з фізичної культури і спорту "Інваспорт"</t>
    </r>
  </si>
  <si>
    <t>Кількість регіональних центрів з фізичної культури і спорту "Інваспорт"</t>
  </si>
  <si>
    <t>Кількість штатних працівників регіональних центрів з фізичної культури і спорту "Інваспорт"</t>
  </si>
  <si>
    <t xml:space="preserve">Кількість учасників спортивних заходів та заходів з фізкультурно-спортивної реабілітації інвалідів, що проводяться центрами інвалідного спорту </t>
  </si>
  <si>
    <t>Середньомісячна заробітна плата працівника регіональних центрів з фізичної культури і спорту "Інваспорт"</t>
  </si>
  <si>
    <t>Динаміка** кількості інвалідів регіону (адміністративно-територіальної одиниці), охоплених спортивними заходами центрів з фізичної культури і спорту "Інваспорт", порівняно з минулим роком</t>
  </si>
  <si>
    <r>
      <t xml:space="preserve">Завдання 2: </t>
    </r>
    <r>
      <rPr>
        <sz val="10"/>
        <color indexed="8"/>
        <rFont val="Times New Roman"/>
        <family val="1"/>
      </rPr>
      <t>Розвиток здібностей вихованців реабілітаційних дитячо-юнацьких спортивних шкіл для осіб з інвалідністю в обраному видів спорту</t>
    </r>
  </si>
  <si>
    <t>Кількість дитячо-юнацьких спортивних шкіл (далі - ДЮСШ) для інвалідів</t>
  </si>
  <si>
    <t>Кількість штатних працівників ДЮСШ для інвалідів</t>
  </si>
  <si>
    <t>у тому числі тренерів</t>
  </si>
  <si>
    <t>Середньорічна кількість учнів ДЮСШ для інвалідів</t>
  </si>
  <si>
    <t>Кількість учнів ДЮСШ для інвалідів, які взяли участь у регіональних спортивних змаганнях</t>
  </si>
  <si>
    <t>Середні витрати на утримання однієї ДЮСШ для інвалідів</t>
  </si>
  <si>
    <t>Середньомісячна заробітна плата працівника ДЮСШ для інвалідів</t>
  </si>
  <si>
    <t>Середні витрати на навчально-тренувальну роботу у ДЮСШ для інвалідів  у розрахунку на одного учня</t>
  </si>
  <si>
    <t>Середні витрати на забезпечення участі одного учня ДЮСШ для інвалідів у регіональних спортивних змаганнях</t>
  </si>
  <si>
    <t>Кількість підготовлених у ДЮСШ для інвалідів кандидатів у майстри спорту України</t>
  </si>
  <si>
    <t>ос.</t>
  </si>
  <si>
    <t>Динаміка** кількості учнів ДЮСШ для інвалідів порівняно з минулим роком</t>
  </si>
  <si>
    <r>
      <t xml:space="preserve">Завдання 3: </t>
    </r>
    <r>
      <rPr>
        <sz val="10"/>
        <color indexed="8"/>
        <rFont val="Times New Roman"/>
        <family val="1"/>
      </rPr>
      <t>Зміцнення матеріально-технічного забезпечення закладів з фізичної культури і спорту осіб з інвалідністю</t>
    </r>
  </si>
  <si>
    <t>Середня вартість одиниці придбаних матеріально-технічних засобів</t>
  </si>
  <si>
    <t>Кількість регіональних змагань з видів спорту інвалідів</t>
  </si>
  <si>
    <t>Календарний план</t>
  </si>
  <si>
    <t>Кількість людино-днів участі у регіональних змаганнях з видів спорту інвалідів</t>
  </si>
  <si>
    <t>Середні витрати на один людино-день участі у регіональних змаганнях з видів спорту інвалідів</t>
  </si>
  <si>
    <t>Динаміка кількості спортсменів, які беруть участь у  регіональних змаганнях, порівняно з минулим роком</t>
  </si>
  <si>
    <t>у тому числі динаміка кількості спортсменів, які посіли призові місця у вказаних змаганнях, порівняно з минулим роком</t>
  </si>
  <si>
    <r>
      <t xml:space="preserve">Завдання 1: </t>
    </r>
    <r>
      <rPr>
        <sz val="10"/>
        <color indexed="8"/>
        <rFont val="Times New Roman"/>
        <family val="1"/>
      </rPr>
      <t>Організація і проведення регіональних змагань з видів спорту для осіб з інвалідністю</t>
    </r>
  </si>
  <si>
    <r>
      <t xml:space="preserve">Завдання 2: </t>
    </r>
    <r>
      <rPr>
        <sz val="10"/>
        <color indexed="8"/>
        <rFont val="Times New Roman"/>
        <family val="1"/>
      </rPr>
      <t>Представлення спортивних досягнень спортсменами збірних команд області на всеукраїнських змаганнях з видів спорту осіб з інвалідністю</t>
    </r>
  </si>
  <si>
    <t>Затрат:</t>
  </si>
  <si>
    <t>Обсяг витрат на забезпечення участі (проїзд, добові в дорозі) спортсменів збірних команд інвалідів області у всеукраїнських змаганнях з видів спорту інвалідів</t>
  </si>
  <si>
    <t>Продукту:</t>
  </si>
  <si>
    <t>Кількість спортсменів збірних команд області, які братимуть участь у всеукраїнських змаганнях з видів спорту інвалідів</t>
  </si>
  <si>
    <t>Ефективності:</t>
  </si>
  <si>
    <t>Середні витрати на забезпечення  участі (проїзд, добові в дорозі та розміщення) одного спортсмена збірних команд області у всеукраїнських змаганнях з видів спорту інвалідів</t>
  </si>
  <si>
    <t>Якості:</t>
  </si>
  <si>
    <t>Кількість спортсменів регіону, які протягом року посіли призові місця у всеукраїнських змаганнях з видів спорту інвалідів</t>
  </si>
  <si>
    <t>Динаміка кількості спортсменів регіону, які взяли участь/посіли призові місця у всеукраїнських змаганнях з видів спорту інвалідів, порівняно з минулим роком</t>
  </si>
  <si>
    <r>
      <t xml:space="preserve">Завдання 3: </t>
    </r>
    <r>
      <rPr>
        <sz val="10"/>
        <color indexed="8"/>
        <rFont val="Times New Roman"/>
        <family val="1"/>
      </rPr>
      <t>Проведення навчально-тренувальних зборів з видів спорту осіб з інвалідністю з підготовки до всеукраїнських змагань</t>
    </r>
  </si>
  <si>
    <t>Кількість навчально-тренувальних зборів з видів спорту інвалідів з підготовки до всеукраїнських змагань</t>
  </si>
  <si>
    <t>Кількість людино-днів навчально-тренувальних зборів з видів спорту інвалідів з підготовки до всеукраїнських змагань</t>
  </si>
  <si>
    <t>Середні витрати на 1 людино-день навчально-тренувальних зборів з видів спорту інвалідів з підготовки до всеукраїнських змагань</t>
  </si>
  <si>
    <t>Динаміка кількості навчально-тренувальних зборів з видів спорту інвалідів з підготовки до всеукраїнських змагань порівняно з минулим роком</t>
  </si>
  <si>
    <r>
      <t xml:space="preserve">Завдання 1: </t>
    </r>
    <r>
      <rPr>
        <sz val="10"/>
        <color indexed="8"/>
        <rFont val="Times New Roman"/>
        <family val="1"/>
      </rPr>
      <t>Реконструкція комплексу будівель для розміщення обласного лікарсько-фізкультурного диспансеру, водолікарні з басейном, гуртожитку, що розташовані за адресою: вулиця О.Сибірцева,3 у м. Бахмут Донецької області</t>
    </r>
  </si>
  <si>
    <t>Показники затрат</t>
  </si>
  <si>
    <t>Обсяг витрат на реконструкцію об`єктів</t>
  </si>
  <si>
    <t>тис.грн.</t>
  </si>
  <si>
    <t>Показники продукту</t>
  </si>
  <si>
    <t>Кількість об’єктів, які планується реконструювати</t>
  </si>
  <si>
    <t>одиниць</t>
  </si>
  <si>
    <t>Показники ефективності</t>
  </si>
  <si>
    <t>Середні витрати на реконструкцію одного об’єкту</t>
  </si>
  <si>
    <t>Розрахунок</t>
  </si>
  <si>
    <t>Показники якості</t>
  </si>
  <si>
    <r>
      <t xml:space="preserve">Рівень готовності  </t>
    </r>
    <r>
      <rPr>
        <sz val="10"/>
        <color indexed="8"/>
        <rFont val="Times New Roman"/>
        <family val="1"/>
      </rPr>
      <t xml:space="preserve">об’єктів  реконструкції </t>
    </r>
  </si>
  <si>
    <t>1.1</t>
  </si>
  <si>
    <t>1.2</t>
  </si>
  <si>
    <t>1.3</t>
  </si>
  <si>
    <t>1.4</t>
  </si>
  <si>
    <t>2.1</t>
  </si>
  <si>
    <t>2.2</t>
  </si>
  <si>
    <t>2.3</t>
  </si>
  <si>
    <t>2.4</t>
  </si>
  <si>
    <r>
      <t xml:space="preserve">Завдання 2: </t>
    </r>
    <r>
      <rPr>
        <sz val="10"/>
        <color indexed="8"/>
        <rFont val="Times New Roman"/>
        <family val="1"/>
      </rPr>
      <t>Будівництво учбового корпусу на 400 учнів та студентів навчального закладу спортивного профілю по вул. Благовіщенській м. Бахмут, І черга.</t>
    </r>
  </si>
  <si>
    <r>
      <t xml:space="preserve">Завдання 1: </t>
    </r>
    <r>
      <rPr>
        <sz val="10"/>
        <color indexed="8"/>
        <rFont val="Times New Roman"/>
        <family val="1"/>
      </rPr>
      <t>П'ятиповерховий гуртожиток Донецького вищого училища олімпійського резерву ім. С. Бубки по вул. Благовіщенська 43, м. Артемівськ – реконструкція (корегування)</t>
    </r>
  </si>
  <si>
    <t>Обсяг витрат на будівництво об`єктів</t>
  </si>
  <si>
    <t>Кількість об’єктів, які планується побудувати</t>
  </si>
  <si>
    <t>Середні витрати на будівництво одного об’єкту</t>
  </si>
  <si>
    <r>
      <t xml:space="preserve">Рівень готовності  </t>
    </r>
    <r>
      <rPr>
        <sz val="10"/>
        <color indexed="8"/>
        <rFont val="Times New Roman"/>
        <family val="1"/>
      </rPr>
      <t>об’єктів будівництва</t>
    </r>
  </si>
  <si>
    <r>
      <t xml:space="preserve">Завдання 1: </t>
    </r>
    <r>
      <rPr>
        <sz val="10"/>
        <color indexed="8"/>
        <rFont val="Times New Roman"/>
        <family val="1"/>
      </rPr>
      <t>Реконструкція будівлі комунального закладу "Донецький обласний центр ресоціалізації наркозалежної молоді" за адресою: с.Миколайпілля, вул.Піонерська, б. 1-а, Костянтинівський район Донецької області».</t>
    </r>
  </si>
  <si>
    <r>
      <t xml:space="preserve">Завдання 1: </t>
    </r>
    <r>
      <rPr>
        <sz val="10"/>
        <color indexed="8"/>
        <rFont val="Times New Roman"/>
        <family val="1"/>
      </rPr>
      <t>Будівництво спортивного комплексу для розвитку велоспорту (готель, траса ВМХ, спортивні майданчики) у м. Лиман - 1 черга</t>
    </r>
  </si>
  <si>
    <t>Обсяг витрат на придбання житла</t>
  </si>
  <si>
    <t xml:space="preserve">Кількість житлових об’єктів, що планується придбати </t>
  </si>
  <si>
    <t>Середні витрати на придбання  1 од .житла</t>
  </si>
  <si>
    <t>Відсоток фактично придбаних квартир від запланованих</t>
  </si>
  <si>
    <r>
      <t xml:space="preserve">Завдання 1: </t>
    </r>
    <r>
      <rPr>
        <sz val="10"/>
        <color indexed="8"/>
        <rFont val="Times New Roman"/>
        <family val="1"/>
      </rPr>
      <t>Поліпшення соціально-побутових умов провідних спортсменів області та їх тренерів</t>
    </r>
  </si>
  <si>
    <r>
      <t xml:space="preserve">Завдання 1: </t>
    </r>
    <r>
      <rPr>
        <sz val="10"/>
        <color indexed="8"/>
        <rFont val="Times New Roman"/>
        <family val="1"/>
      </rPr>
      <t>Організація фізкультурно-спортивної роботи серед населення регіону</t>
    </r>
  </si>
  <si>
    <t>Кількість місцевих осередків (рад) всеукраїнських організацій фізкультурно-спортивної спрямованості (у розрізі організацій)</t>
  </si>
  <si>
    <t>з них:</t>
  </si>
  <si>
    <t>ДОО ВФСТ "Колос" АПК України</t>
  </si>
  <si>
    <t>ДОО ФСТ "Україна"</t>
  </si>
  <si>
    <t>ДОО ФСТ «Динамо» України</t>
  </si>
  <si>
    <t>ГО «ДО ФСТ «Спартак»</t>
  </si>
  <si>
    <t>Кількість штатних працівників місцевих осередків (рад) всеукраїнських організацій фізкультурно-спортивної спрямованості (у розрізі організацій)</t>
  </si>
  <si>
    <t>Кількість дитячо-юнацьких спортивних шкіл, що перебувають у сфері управління місцевих осередків (рад) всеукраїнських організацій фізкультурно-спортивної спрямованості (у розрізі організацій)</t>
  </si>
  <si>
    <t>Кількість заходів( організаційно-методологічних, спортивних, фізкультурно-масових), що проводяться місцевими осередками (рад) всеукраїнських організацій фізкультурно-спортивної спрямованості (у розрізі організацій)</t>
  </si>
  <si>
    <t>Середній розмір фінансової підтримки з бюджету одного місцевого осередку (раді) всеукраїнських організацій фізкультурно-спортивної спрямованості (у розрізі організацій)</t>
  </si>
  <si>
    <t>Середньомісячна заробітна плата одного працівника місцевих осередків (рад) всеукраїнських організацій фізкультурно-спортивної спрямованості (у розрізі організацій)</t>
  </si>
  <si>
    <t>Динаміка** населення регіону, залученого до занять фізичною культурою і спортом місцевими осередками (рад) всеукраїнських організацій фізкультурно-спортивної спрямованості (у розрізі організацій)</t>
  </si>
  <si>
    <t>Динаміка** кількості заходів (організаційно-методологічних, спортивних, фізкультурно-масових), що проводяться місцевими осередками (рад) всеукраїнських організацій фізкультурно-спортивної спрямованості (у розрізі організацій)</t>
  </si>
  <si>
    <r>
      <t xml:space="preserve">Завдання 1: </t>
    </r>
    <r>
      <rPr>
        <sz val="10"/>
        <color indexed="8"/>
        <rFont val="Times New Roman"/>
        <family val="1"/>
      </rPr>
      <t>Підготовка спортивного резерву та підвищення рівня фізичної підготовленості дітей дитячо-юнацькими спортивними школами</t>
    </r>
  </si>
  <si>
    <t>Кількість комунальних дитячо-юнацьких спортивних шкіл, видатки на утримання яких здійснюються з бюджету</t>
  </si>
  <si>
    <t xml:space="preserve"> - комплексна дитячо-юнацька спеціалізована школа</t>
  </si>
  <si>
    <t xml:space="preserve"> - дитячо-юнацькі спортивні школи </t>
  </si>
  <si>
    <t xml:space="preserve"> - спеціалізовані дитячо-юнацькі спортивні школи олімпійського резерву </t>
  </si>
  <si>
    <t>Обсяг витрат на утримання комунальних дитячо-юнацьких спортивних шкіл за видами, видатки на утримання яких здійснюються з бюджету</t>
  </si>
  <si>
    <t xml:space="preserve"> - комплексна дитячо-юнацька спортивна школа</t>
  </si>
  <si>
    <t>Обсяг витрат на проведення навчально-тренувальної роботи у комунальних дитячо-юнацьких спортивних школах за видами, видатки на утримання яких здійснюються з бюджету</t>
  </si>
  <si>
    <t>Кількість штатних працівників комунальних дитячо-юнацьких спортивних шкіл за видами, видатки на утримання яких здійснюються з бюджету</t>
  </si>
  <si>
    <t xml:space="preserve"> - спеціалізовані дитячо-юнацькі спортивні школа олімпійського резерву </t>
  </si>
  <si>
    <t>у тому числі - тренерів</t>
  </si>
  <si>
    <t>Середньорічна кількість учнів дитячо-юнацьких спортивних шкіл за видами, видатки на утримання яких здійснюються з бюджету</t>
  </si>
  <si>
    <t>Середні витрати на утримання однієї комунальної дитячо-юнацької спортивної школи, видатки на утримання якої здійснюються з бюджету, у розрахунку на одного працівника</t>
  </si>
  <si>
    <t>Середньомісячна заробітна плата дитячо-юнацької спортивної школи, видатки на утримання якої здійснюються з бюджету</t>
  </si>
  <si>
    <t>Середні витрати на навчально-тренувальну роботу у комунальних дитячо-юнацьких спортивних школах,видатки на утримання яких здійснюються з бюджету у розрахунку на одного учня</t>
  </si>
  <si>
    <t>Кількість підготовлених у комунальних дитячо-юнацьких спортивних школах, видатки на утримання яких здійнюється з бюджету,  майстрів спорту України / кандидатів у майстри спорту України</t>
  </si>
  <si>
    <t>Динаміка кількості учнів комунальних дитячо-юнацьких спортивних шкіл, видатки на утримання яких здійснюються з бюджету, порівняно з минулим роком</t>
  </si>
  <si>
    <r>
      <t xml:space="preserve">Завдання 2: </t>
    </r>
    <r>
      <rPr>
        <sz val="10"/>
        <color indexed="8"/>
        <rFont val="Times New Roman"/>
        <family val="1"/>
      </rPr>
      <t>Зміцнення матеріально-технічного забезпечення комунальних дитячо-юнацьких спортивних шкіл</t>
    </r>
  </si>
  <si>
    <r>
      <t xml:space="preserve">Завдання 1: </t>
    </r>
    <r>
      <rPr>
        <sz val="10"/>
        <color indexed="8"/>
        <rFont val="Times New Roman"/>
        <family val="1"/>
      </rPr>
      <t>Підготовка спортивного резерву та підвищення рівня фізичної підготовленості дітей дитячо-юнацькими спортивними школами, які підпорядковані громадським організаціям фізкультурно-спортивної спрямованості</t>
    </r>
  </si>
  <si>
    <t>Кількість дитячо-юнацьких спортивних шкіл фізкультурно-спортивних товариств, яким надається фінансова підтримка з бюджету</t>
  </si>
  <si>
    <t xml:space="preserve"> - комплексні дитячо-юнацькі спортивні школи</t>
  </si>
  <si>
    <t>Обсяг витрат на фінансову підтримку дитячо-юнацьких спортивних шкіл фізкультурно-спортивних товариств</t>
  </si>
  <si>
    <t>Кількість штатних працівників дитячо-юнацьких спортивних шкіл фізкультурно-спортивних товариств, яким надається фінансова підтримка з бюджету</t>
  </si>
  <si>
    <t>Середньорічна кількість учнів дитячо-юнацьких спортивних шкіл фізкультурно-спортивних товариств, яким надається фінансова підтримка з бюджету</t>
  </si>
  <si>
    <t>Середньомісячна заробітна плата працівника дитячо-юнацької спортивної школи фізкультурно-спортивного товариства, якій надається фінансова підтримка з бюджету</t>
  </si>
  <si>
    <t>Кількість підготовлених у дитячо-юнацьких спортивних школах фізкультурно-спортивних товариств, яким надається фінансова підтримка з бюджету,  майстрів спорту України / кандидатів у майстри спорту України</t>
  </si>
  <si>
    <t>Динаміка кількості учнів дитячо-юнацьких спортивних шкіл фізкультурно-спортивних товариств, яким надається фінансова підтримка з бюджету, порівняно з минулим роком</t>
  </si>
  <si>
    <r>
      <t xml:space="preserve">Середні витрати на навчально-тренувальну роботу у дитячо-юнацьких спортивних шкіл фізкультурно-спортивних товариств, яким надається фінансова підтримка з бюджету, </t>
    </r>
    <r>
      <rPr>
        <u val="single"/>
        <sz val="10"/>
        <rFont val="Times New Roman"/>
        <family val="1"/>
      </rPr>
      <t>у розрахунку на 1 учня</t>
    </r>
  </si>
  <si>
    <r>
      <t xml:space="preserve">Завдання 1: </t>
    </r>
    <r>
      <rPr>
        <sz val="10"/>
        <color indexed="8"/>
        <rFont val="Times New Roman"/>
        <family val="1"/>
      </rPr>
      <t>Підготовка спортивного резерву та спортсменів вищих категорій школами вищої спортивної майстерності</t>
    </r>
  </si>
  <si>
    <t>Кількість шкіл вищої спортивної майстерності (ШВСМ)</t>
  </si>
  <si>
    <t>Кількість штатних працівників ШВСМ</t>
  </si>
  <si>
    <t>Середньорічна кількість учнів ШВСМ</t>
  </si>
  <si>
    <t>постійного складу</t>
  </si>
  <si>
    <t>змінного складу</t>
  </si>
  <si>
    <t>Кількість всеукраїнських змагань, у яких учні ШВСМ беруть участь</t>
  </si>
  <si>
    <t>Кількість навчально-тренувальних зборів</t>
  </si>
  <si>
    <t>Кількість людино-днів проведених у ШВСМ навчально-тренувальних зборів</t>
  </si>
  <si>
    <t>Кількість людино-днів участі учнів ШВСМ у всеукраїнських змаганнях</t>
  </si>
  <si>
    <t>Середні витрати на проведення ШВСМ одного людино-дня навчально-тренувальних зборів</t>
  </si>
  <si>
    <t>Середні витрати на забезпечення одного людино-дня участі учнів ШВСМ у всеукраїнських змаганнях</t>
  </si>
  <si>
    <t xml:space="preserve">Кількість підготовлених спортсменів у ШВСМ протягом року </t>
  </si>
  <si>
    <t>майстрів спорту України</t>
  </si>
  <si>
    <t>кандидатів у майстри спорту України</t>
  </si>
  <si>
    <t>майстрів спорту міжнародного класу та членів збірних команд України</t>
  </si>
  <si>
    <t>кандидатів до складу збірних команд України</t>
  </si>
  <si>
    <t>членів збірних команд України</t>
  </si>
  <si>
    <r>
      <t xml:space="preserve">Завдання 2: </t>
    </r>
    <r>
      <rPr>
        <sz val="10"/>
        <color indexed="8"/>
        <rFont val="Times New Roman"/>
        <family val="1"/>
      </rPr>
      <t>Зміцнення матеріально-технічного забезпечення школи вищої спортивної майстерності</t>
    </r>
  </si>
  <si>
    <r>
      <t xml:space="preserve">Завдання 1: </t>
    </r>
    <r>
      <rPr>
        <sz val="10"/>
        <color indexed="8"/>
        <rFont val="Times New Roman"/>
        <family val="1"/>
      </rPr>
      <t>Організація фізкультурно-оздоровчої діяльності, проведення масових фізкультурно-оздоровчих і спортивних заходів</t>
    </r>
  </si>
  <si>
    <t>Кількість місцевих ЦФЗН «Спорт для всіх»</t>
  </si>
  <si>
    <t>Кількість фізкультурно-масових заходів (у розрізі їх видів), що проводяться ЦФЗН «Спорт для всіх»</t>
  </si>
  <si>
    <t>Організація спортивно-масових заходів, фестивалів, спортивних свят серед населення регіону</t>
  </si>
  <si>
    <t>Участь у Всеукраїнських спортивно-масових заходах та фестивалях, спортивних святах</t>
  </si>
  <si>
    <t>Кількість штатних працівників ЦФЗН «Спорт для всіх»</t>
  </si>
  <si>
    <t>Кількість людино-днів проведення фізкультурно-масових заходів (у розрізі їх видів), що проводяться ЦФЗН «Спорт для всіх»</t>
  </si>
  <si>
    <t>Середні витрати на проведення одного фізкультурно-масового заходу (у розрізі їх видів) що проводяться ЦФЗН «Спорт для всіх»</t>
  </si>
  <si>
    <t>Середні витрати на один людино-день проведення фізкультурно-масових заходів (у розрізі їх видів) що проводяться ЦФЗН «Спорт для всіх»</t>
  </si>
  <si>
    <t>Середньомісячна заробітна плата одного штатного працівника ЦФЗН «Спорт для всіх»</t>
  </si>
  <si>
    <t>Динаміка кількості населення регіону (адміністративно-територіальних одиниць), охопленого фізкультурно-масовими заходами ЦФЗН «Спорт для всіх», порівняно з минулим роком</t>
  </si>
  <si>
    <r>
      <t xml:space="preserve">Завдання 1: </t>
    </r>
    <r>
      <rPr>
        <sz val="10"/>
        <color indexed="8"/>
        <rFont val="Times New Roman"/>
        <family val="1"/>
      </rPr>
      <t>Заохочення видатних спортсменів, тренерів та діячів фізичної культури і спорту регіону</t>
    </r>
  </si>
  <si>
    <t>Обсяг видатків на виплату стипендій перспективним спортсменам Донецької області</t>
  </si>
  <si>
    <t>Розпорядження голови Донецької облдержадміністрації, керівника обласної військово-цивільної адміністрації від 14 грудня 2017 року № 1653/5-17 (із змінами)</t>
  </si>
  <si>
    <t>Обсяг видатків на виплату одноразових грошових винагород спортсменам та тренерам Донецької області</t>
  </si>
  <si>
    <t>Кількість стипендій перспективним спортсменам Донецької області</t>
  </si>
  <si>
    <t>Розпорядження голови Донецької облдержадміністрації, керівника обласної військово-цивільної адміністрації від 13 лютого 2017 року № 134</t>
  </si>
  <si>
    <t>Кількість одноразових грошових винагород спортсменам та тренерам Донецької області</t>
  </si>
  <si>
    <t>Розпорядження голови Донецької облдержадміністрації, керівника обласної військово-цивільної адміністрації від 15 лютого 2017 року №141, Розрахунок установи</t>
  </si>
  <si>
    <t>Середній розмір стипендій перспективним спортсменам Донецької області</t>
  </si>
  <si>
    <t>Середній розмір одноразових грошових винагород спортсменам та тренерам Донецької області</t>
  </si>
  <si>
    <t>Динаміка кількості отримувачів стипендій перспективним спортсменам Донецької області, порівняно з минулим роком</t>
  </si>
  <si>
    <t>Динаміка кількості отримувачів одноразових грошових винагород спортсменам та тренерам Донецької області, порівняно з минулим роком</t>
  </si>
  <si>
    <r>
      <t xml:space="preserve">Завдання 2: </t>
    </r>
    <r>
      <rPr>
        <sz val="10"/>
        <color indexed="8"/>
        <rFont val="Times New Roman"/>
        <family val="1"/>
      </rPr>
      <t>Сприяння діяльності закладів фізичної культури і спорту та організацій фізкультурно-спортивної спрямованості</t>
    </r>
  </si>
  <si>
    <t>Кількість закладів фізичної культури і спорту, організацій фізкультурно-спортивної спрямованості (у розрізі закладів, організацій), що утримуються за рахунок бюджетних коштів</t>
  </si>
  <si>
    <t>Обласний центр фізкультурно-оздоровчої роботи</t>
  </si>
  <si>
    <t>Кількість штатних працівників закладів фізичної культури і спорту, організацій фізкультурно-спортивної спрямованості (у розрізі закладів, організацій), що утримуються за рахунок бюджетних коштів</t>
  </si>
  <si>
    <t>Кількість спортивних заходів (у розрізі їх видів), що проводяться закладами фізичної культури і спорту, організаціями фізкультурно-спортивної спрямованості (у розрізі закладів, організацій), що утримуються за рахунок бюджетних коштів, у т.ч.</t>
  </si>
  <si>
    <t>Організація і проведення регіональних змагань з неолімпійських видів спорту</t>
  </si>
  <si>
    <t>Представлення спортивних досягнень спортсменами збірних команд області на всеукраїнських змаганнях з неолімпійських видів спорту</t>
  </si>
  <si>
    <t>Проведення навчально-тренувальних зборів з неолімпійських видів спорту з підготовки до всеукраїнських змагань</t>
  </si>
  <si>
    <t>Кількість людино-днів спортивних заходів (у розрізі їх видів), що проводяться закладами фізичної культури і спорту, організаціями фізкультурно-спортивної спрямованості (у розрізі закладів, організацій), що утримуються за рахунок бюджетних коштів, у т.ч.</t>
  </si>
  <si>
    <t>Середні витрати на утримання одного закладу фізичної культури і спорту, організацій фізкультурно-спортивної спрямованості (у розрізі закладів, організацій), що утримуються за рахунок бюджетних коштів</t>
  </si>
  <si>
    <t>Середньомісячна заробітна плата одного штатного працівника закладів фізичної культури і спорту, організацій фізкультурно-спортивної спрямованості (у розрізі закладів, організацій), що утримуються за рахунок бюджетних коштів, у т.ч.</t>
  </si>
  <si>
    <t>Середні витрати на проведення одного спортивного заходу (у розрізі їх видів), що проводяться закладами фізичної культури і спорту, організаціями фізкультурно-спортивної спрямованості (у розрізі закладів, організацій), що утримуються за рахунок бюджетних коштів, у т.ч.</t>
  </si>
  <si>
    <t>Середні витрати на проведення одного людино-дня спортивного заходу (у розрізі їх видів), що проводяться закладами фізичної культури і спорту, організаціями фізкультурно-спортивної спрямованості (у розрізі закладів, організацій), що утримуються за рахунок бюджетних коштів, у т.ч.</t>
  </si>
  <si>
    <t>Динаміка кількості учасників спортивних заходів  (у розрізі їх видів), що проводяться закладами фізичної культури і спорту, організаціями фізкультурно-спортивної спрямованості (у розрізі закладів, організацій), що утримуються за рахунок бюджетних коштів, порівняно з минулим роком, у т.ч.</t>
  </si>
  <si>
    <r>
      <t xml:space="preserve">Завдання 3: </t>
    </r>
    <r>
      <rPr>
        <sz val="10"/>
        <color indexed="8"/>
        <rFont val="Times New Roman"/>
        <family val="1"/>
      </rPr>
      <t>Зміцнення матеріально-технічного забезпечення Обласного центру фізкультурно-оздоровчої роботи</t>
    </r>
  </si>
  <si>
    <t>обл</t>
  </si>
  <si>
    <t>всеукр</t>
  </si>
  <si>
    <t>нтз</t>
  </si>
  <si>
    <t>доп</t>
  </si>
  <si>
    <t>Проект Програми ЕСР на 2019 рік</t>
  </si>
  <si>
    <t>Розробка проектно-кошторисної документації та отримання експертного звіту \ щодо будівництва Олімпійської спортивної бази у місті Святогірськ, Будівництво спортивного комплексу для розвитку велоспорту (готель, траса ВМХ, спортивні майданчики) у м. Лиман - 1 черга</t>
  </si>
  <si>
    <t>Програма Реалізація державної політики у молодіжній сфері</t>
  </si>
  <si>
    <t>кількість соціальних гуртожитків для дітей-сиріт та дітей, позбавлених батьківського піклування</t>
  </si>
  <si>
    <t>кількість штатних працівників соціального гуртожитку</t>
  </si>
  <si>
    <t xml:space="preserve">Штатний розпис </t>
  </si>
  <si>
    <t>кількість місць в соціальному гуртожитку</t>
  </si>
  <si>
    <t>кількість осіб, які перебували в соціальному гуртожитку</t>
  </si>
  <si>
    <t>середньорічні витрати на одне місце в соціальному гуртожитку</t>
  </si>
  <si>
    <t>кількість дітей-сиріт та дітей, позбавлених батьківського піклування, віком від 15 до 18 років, а також осіб з числа дітей-сиріт та дітей, позбавлених батьківського піклування, віком від 18 до 23 років, які були забезпечені житлом протягом року</t>
  </si>
  <si>
    <t>динаміка кількість дітей-сиріт та дітей, позбавлених батьківського піклування, віком від 15 до 18 років, а також осіб з числа дітей-сиріт та дітей, позбавлених батьківського піклування, віком від 18 до 23 років, які були забезпечені житлом у регіоні за рік, порівняно з попереднім роком</t>
  </si>
  <si>
    <r>
      <t xml:space="preserve">Програма </t>
    </r>
    <r>
      <rPr>
        <b/>
        <u val="single"/>
        <sz val="10"/>
        <rFont val="Times New Roman"/>
        <family val="1"/>
      </rPr>
      <t>Заклади і заходи з питань дітей та їх соціального захисту</t>
    </r>
  </si>
  <si>
    <r>
      <t xml:space="preserve">Завдання 1: </t>
    </r>
    <r>
      <rPr>
        <sz val="10"/>
        <color indexed="8"/>
        <rFont val="Times New Roman"/>
        <family val="1"/>
      </rPr>
      <t xml:space="preserve"> Надання соціальним гуртожитком послуг дітям-сиротам та дітям, позбавленим батьківського піклування, віком від 15 до 18 років, а також особам з числа дітей-сиріт та дітей, позбавлених батьківського піклування, віком від 18 до 23 років з тимчасового проживання та створення умов для соціальної адаптації осіб, що в них проживають, та їх підготовка до самостійного життя</t>
    </r>
  </si>
  <si>
    <r>
      <t xml:space="preserve">Програма </t>
    </r>
    <r>
      <rPr>
        <b/>
        <u val="single"/>
        <sz val="10"/>
        <rFont val="Times New Roman"/>
        <family val="1"/>
      </rPr>
      <t>Здійснення соціальної роботи з вразливими категоріями населення</t>
    </r>
  </si>
  <si>
    <t>Підпрограма 1:Заходи державної політики із забезпечення рівних прав та можливостей жінок та чоловіків</t>
  </si>
  <si>
    <r>
      <t xml:space="preserve">Завдання 1: </t>
    </r>
    <r>
      <rPr>
        <sz val="10"/>
        <color indexed="8"/>
        <rFont val="Times New Roman"/>
        <family val="1"/>
      </rPr>
      <t>Проведення регіональних заходів, спрямованих на забезпечення гендерної рівності в суспільстві</t>
    </r>
  </si>
  <si>
    <t xml:space="preserve">кількість регіональних заходів державної політики із забезпечення рівних прав та можливостей жінок та чоловіків </t>
  </si>
  <si>
    <t>кількість учасників регіональних заходів державної політики із забезпечення рівних прав та можливостей жінок та чоловіків</t>
  </si>
  <si>
    <t>середні витрати на один регіональний захід державної політики із забезпечення рівних прав та можливостей жінок та чоловіків</t>
  </si>
  <si>
    <t>середні витрати на забезпечення одного учасника в проведені регіональних заходів державної політики із забезпечення рівних прав та можливостей жінок та чоловіків</t>
  </si>
  <si>
    <t>динаміка  кількості людей, охоплених регіональними заходами із забезпечення рівних прав та можливостей жінок та чоловіків, порівняно з минулим роком</t>
  </si>
  <si>
    <t>Підпрограма 2: Заходи державної політики з питань сім’ї</t>
  </si>
  <si>
    <r>
      <t xml:space="preserve">Завдання 1: </t>
    </r>
    <r>
      <rPr>
        <sz val="10"/>
        <color indexed="8"/>
        <rFont val="Times New Roman"/>
        <family val="1"/>
      </rPr>
      <t>Проведення регіональних заходів, спрямованих на підтримку сім’ї, демографічний розвиток</t>
    </r>
  </si>
  <si>
    <t xml:space="preserve">кількість регіональних заходів державної політики з питань сім’ї </t>
  </si>
  <si>
    <t>кількість учасників регіональних заходів державної політики з питань сім’ї</t>
  </si>
  <si>
    <r>
      <t xml:space="preserve">Програма </t>
    </r>
    <r>
      <rPr>
        <b/>
        <u val="single"/>
        <sz val="10"/>
        <rFont val="Times New Roman"/>
        <family val="1"/>
      </rPr>
      <t>Реалізація державної політики у молодіжній сфері</t>
    </r>
  </si>
  <si>
    <t>Підпрограма 1: Здійснення заходів та реалізація проектів на виконання Державної цільової соціальної програми "Молодь України"</t>
  </si>
  <si>
    <r>
      <t xml:space="preserve">Завдання 1: </t>
    </r>
    <r>
      <rPr>
        <sz val="10"/>
        <color indexed="8"/>
        <rFont val="Times New Roman"/>
        <family val="1"/>
      </rPr>
      <t>Створення сприятливих умов для соціального становлення та розвитку молоді</t>
    </r>
  </si>
  <si>
    <t>Кількість регіональних заходів державної політики у молодіжній сфері</t>
  </si>
  <si>
    <t>Кількість учасників регіональних заходів державної політики у молодіжній сфері</t>
  </si>
  <si>
    <t>Середні витрати на один регіональний захід державної політики у молодіжній сфері</t>
  </si>
  <si>
    <t>Середні витрати на забезпечення одного учасника в проведені регіональних заходів державної політики з питань молоді</t>
  </si>
  <si>
    <t>збільшення кількості молоді, охопленої регіональними заходами державної політики з питань молоді, порівняно з минулим роком</t>
  </si>
  <si>
    <t xml:space="preserve">Підпрограма 2: Інші заходи та заклади молодіжної політики </t>
  </si>
  <si>
    <t>Завдання 1: Надання можливостей для всебічного розвитку молоді у відповідних закладах по роботі з молоддю</t>
  </si>
  <si>
    <t>кількість регіональних закладів по роботі з молоддю</t>
  </si>
  <si>
    <t>звітність установи</t>
  </si>
  <si>
    <t>кількість штатних працівників регіональних закладів по роботі з молоддю</t>
  </si>
  <si>
    <t xml:space="preserve">штатний розпис </t>
  </si>
  <si>
    <t>кількість молоді, яка відвідує регіональні заклади по роботі з молоддю</t>
  </si>
  <si>
    <t>інформація установи</t>
  </si>
  <si>
    <t>в тому числі:</t>
  </si>
  <si>
    <t>жінок (дівчат)</t>
  </si>
  <si>
    <t>кількість заходів, проведених регіональними закладами по роботі з молоддю</t>
  </si>
  <si>
    <t>середні витрати на забезпечення участі одного учасника в заходах, які проводяться закладами по роботі з молоддю</t>
  </si>
  <si>
    <t>розрахунок установи</t>
  </si>
  <si>
    <t>середні витрати на проведення одного регіонального заходу закладом по роботі з молоддю</t>
  </si>
  <si>
    <t xml:space="preserve"> грн.</t>
  </si>
  <si>
    <t>кількість молоді, охопленої роботою регіонального закладу по роботі з молоддю, від загальної кількості молоді в регіоні</t>
  </si>
  <si>
    <t>збільшення кількості молоді, охопленої роботою закладу по роботі з молоддю, порівняно з минулим роком</t>
  </si>
  <si>
    <t>Завдання 2: Залучення інститутів громадянського суспільства до реалізації проектів та здійснення заходів для молоді</t>
  </si>
  <si>
    <t>кількість громадських організацій, проекти яких стали переможцями конкурсу</t>
  </si>
  <si>
    <t xml:space="preserve">Наказ управління у справах сім'ї та молоді облдержадміністрації від 12 грудня 2017 року № 198-о "Про затвердження переліку програм, визнаних переможцями обласного конкурсу з визначення програм (проектів, заходів), розроблених інститутами громадянського суспільства, для виконання (реалізації) яких надається фінансова підтримка на 2018 рік" </t>
  </si>
  <si>
    <t>середньорічна кількість проектів, які приймають участь в обласному конкурсі</t>
  </si>
  <si>
    <t>шт.</t>
  </si>
  <si>
    <t>середні витрати на проведення одного проекту</t>
  </si>
  <si>
    <t>збільшення кількості молоді, охопленої проектами інститутів громадянського суспільства, які працюють з молоддю, порівняно з минулим роком</t>
  </si>
  <si>
    <t>Завдання 3:  Проведення обласного конкурсу, спрямованого на підтримку талановитої молоді та дітей, громадських організацій 
та ініціатив, інституційну підтримку молодіжних центрів</t>
  </si>
  <si>
    <t>обсяг видатків на проведення обласного конкурсу</t>
  </si>
  <si>
    <t>середньорічна кількість талановитих осіб, які приймають участь в обласному конкурсі</t>
  </si>
  <si>
    <t>середні витрати на одну талановиту особу, яка приймає участь в обласному конкурсі</t>
  </si>
  <si>
    <t>збільшення кількості талановитих осіб, які приймають участь в обласному конкурсі, порівняно з минулим роком</t>
  </si>
  <si>
    <r>
      <t xml:space="preserve">Програма </t>
    </r>
    <r>
      <rPr>
        <b/>
        <u val="single"/>
        <sz val="10"/>
        <rFont val="Times New Roman"/>
        <family val="1"/>
      </rPr>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r>
  </si>
  <si>
    <t>Завдання 1: Організація оздоровлення та забезпечення відпочинком дітей, які потребують особливої соціальної уваги та підтримки</t>
  </si>
  <si>
    <t xml:space="preserve">Кількість дітей, яким надані послуги з оздоровлення </t>
  </si>
  <si>
    <t>Кількість придбаних путівок на оздоровлення дітей</t>
  </si>
  <si>
    <t>Середні витрати на оздоровлення однієї дитини</t>
  </si>
  <si>
    <t>Середня вартість однієї путівки на оздоровлення</t>
  </si>
  <si>
    <t>Динаміка кількості дітей, охоплених заходами з оздоровлення, порівняно з минулим роком</t>
  </si>
  <si>
    <t>Питома вага дітей, охоплених оздоровленням, у загальній кількості дітей в регіоні</t>
  </si>
  <si>
    <r>
      <t xml:space="preserve">Програма </t>
    </r>
    <r>
      <rPr>
        <b/>
        <u val="single"/>
        <sz val="10"/>
        <rFont val="Times New Roman"/>
        <family val="1"/>
      </rPr>
      <t>Інші заклади та заходи</t>
    </r>
  </si>
  <si>
    <t>Підпрограма 1: Забезпечення діяльності інших закладів у сфері соціального захисту і соціального забезпечення.</t>
  </si>
  <si>
    <r>
      <t xml:space="preserve">Завдання 1: </t>
    </r>
    <r>
      <rPr>
        <sz val="10"/>
        <color indexed="8"/>
        <rFont val="Times New Roman"/>
        <family val="1"/>
      </rPr>
      <t>Надання соціальних послуг центрами соціально-психологічної допомоги</t>
    </r>
  </si>
  <si>
    <t>кількість центрів соціально-психологічної допомоги</t>
  </si>
  <si>
    <t>кількість штатних працівників центру соціально-психологічної допомоги</t>
  </si>
  <si>
    <t>штатний розпис</t>
  </si>
  <si>
    <t>кількість місць у центрі соціально-психологічної допомоги</t>
  </si>
  <si>
    <t>кількість осіб, яким надано послуги у центрі соціально-психологічної допомоги</t>
  </si>
  <si>
    <t>чоловіків/хлопців</t>
  </si>
  <si>
    <t>жінок/дівчат</t>
  </si>
  <si>
    <t>середньорічні витрати на одне місце в центрі соціально-психологічної допомоги</t>
  </si>
  <si>
    <t>середньорічні витрати на одного одержувача соціальних послуг</t>
  </si>
  <si>
    <t>динаміка кількості осіб, яким протягом року надано соціальні послуги у центрі соціально-психологічної допомоги, порівняно з минулим роком</t>
  </si>
  <si>
    <r>
      <t xml:space="preserve">Завдання 2: </t>
    </r>
    <r>
      <rPr>
        <sz val="10"/>
        <color indexed="8"/>
        <rFont val="Times New Roman"/>
        <family val="1"/>
      </rPr>
      <t>Надання соціальних послуг центрами ресоціалізації наркозалежної молоді</t>
    </r>
  </si>
  <si>
    <t>кількість центрів ресоціалізації наркозалежної молоді</t>
  </si>
  <si>
    <t>кількість штатних працівників центру ресоціалізації наркозалежної молоді</t>
  </si>
  <si>
    <t>кількість місць у центрі ресоціалізації наркозалежної молоді</t>
  </si>
  <si>
    <t>кількість осіб, яким надано послуги у центрі ресоціалізації наркозалежної молоді</t>
  </si>
  <si>
    <t>середньорічні витрати на одне місце в у центрі ресоціалізації наркозалежної молоді</t>
  </si>
  <si>
    <t>динаміка кількості осіб, яким протягом року надано соціальні послуги у центрі ресоціалізації наркозалежної молоді, порівняно з минулим роком</t>
  </si>
  <si>
    <r>
      <t xml:space="preserve">Завдання 3: </t>
    </r>
    <r>
      <rPr>
        <sz val="10"/>
        <color indexed="8"/>
        <rFont val="Times New Roman"/>
        <family val="1"/>
      </rPr>
      <t xml:space="preserve"> Надання соціальних послуг центрами матері та дитини</t>
    </r>
  </si>
  <si>
    <t>кількість центрів матері та дитини</t>
  </si>
  <si>
    <t>кількість штатних працівників центру матері та дитини</t>
  </si>
  <si>
    <t>кількість місць у центрі матері та дитини</t>
  </si>
  <si>
    <t>кількість осіб, яким надано послуги у центрі матері та дитини</t>
  </si>
  <si>
    <t>середньорічні витрати на одне місце у центрі матері та дитини</t>
  </si>
  <si>
    <t>динаміка кількості осіб, яким протягом року надано соціальні послуги у центрі матері та дитини, порівняно з минулим роком</t>
  </si>
  <si>
    <r>
      <t xml:space="preserve">Завдання 4: </t>
    </r>
    <r>
      <rPr>
        <sz val="10"/>
        <color indexed="8"/>
        <rFont val="Times New Roman"/>
        <family val="1"/>
      </rPr>
      <t xml:space="preserve"> Надання соціальних послуг центрами соціально-психологічної реабілітації дітей та молоді з функціональними обмеженнями</t>
    </r>
  </si>
  <si>
    <t>кількість центрів соціально-психологічної реабілітації дітей та молоді з функціональними обмеженнями</t>
  </si>
  <si>
    <t>кількість штатних працівників центру соціально-психологічної реабілітації дітей та молоді з функціональними обмеженнями</t>
  </si>
  <si>
    <t>кількість місць у центрі соціально-психологічної реабілітації дітей та молоді з функціональними обмеженнями</t>
  </si>
  <si>
    <t>кількість осіб, яким надано послуги у центрі соціально-психологічної реабілітації дітей та молоді з функціональними обмеженнями</t>
  </si>
  <si>
    <t>середньорічні витрати на одне місце у центрі соціально-психологічної реабілітації дітей та молоді з функціональними обмеженнями</t>
  </si>
  <si>
    <t>середньорічні витрати на одного одержувача соціальних послуг у центрі соціально-психологічної реабілітації дітей та молоді з функціональними обмеженнями</t>
  </si>
  <si>
    <t>динаміка кількості осіб, яким протягом року надано соціальні послуги у центрі соціально-психологічної реабілітації дітей та молоді з функціональними обмеженнями, порівняно з минулим роком</t>
  </si>
  <si>
    <t>Підпрограма 2: Інші заходи у сфері соціального захисту і соціального забезпечення.</t>
  </si>
  <si>
    <r>
      <t xml:space="preserve">Завдання 1:  </t>
    </r>
    <r>
      <rPr>
        <sz val="10"/>
        <color indexed="8"/>
        <rFont val="Times New Roman"/>
        <family val="1"/>
      </rPr>
      <t>Забезпечення роботи центру методичного забезпечення дитячого оздоровлення та відпочинку</t>
    </r>
  </si>
  <si>
    <t>кількість штатних одиниць</t>
  </si>
  <si>
    <t>обсяг видатків для виплати заробітної плати працівникам центру методичного забезпечення дитячого оздоровлення та відпочинку</t>
  </si>
  <si>
    <t>середньорічні витрати на виплату заробітної плати однієї штатної одиниці</t>
  </si>
  <si>
    <t>динаміка розміру премій працівників центру, порівняно з минулим роком</t>
  </si>
  <si>
    <t>Придбання автобусу на 50 місць - 5000,0 тис. Грн., Придбання спортивного інвентарю та обладнання для відділень з важкої атлетики, боротьби, тхеквондо, боксу - 2000,0 тис. Грн. (штанги, килими, груши боксерські, мати, тощо)</t>
  </si>
  <si>
    <t>Забезпечення календарного плану спортивних заходів на 2019 рік</t>
  </si>
  <si>
    <t>Придбання господарського інвентарю для їдальні закладу - 509,0 тис.грн., спортивного малоцінного інвентарю - 220,0 тис. грн.</t>
  </si>
  <si>
    <t>Намети, каримати, спальні мішки</t>
  </si>
  <si>
    <t>Придбання проектору та фотокамери для супроводу занять з молоддю</t>
  </si>
  <si>
    <t>Додатково охоплено дітей путівками для оздоровлення та відпочинку - понад 900 осіб</t>
  </si>
  <si>
    <t>Розширення надання соціальних послуг серед молоді, яка пройшла курс лікування від наркотичної залежності по КУ "Обласний центр ресоціалізації наркозалежної молоді" до 30 клієнтів, що перебуватимуть на цілодобовому обслуговуванні.</t>
  </si>
  <si>
    <t>Спортивна екіпіровка для тренерів (спорт. Костюми, кросівки, футболки) - 86,8 тис.грн., ПММ - 22,0 тис.грн.</t>
  </si>
  <si>
    <t>Покращення фінансового забезпечення проведення спортивних заходів (харчування учасників, видатки на відрядження), проведення додаткових заходів згідно календарного плану з метою покращення підготовки та участі у всеукраїнських спортивних заходах</t>
  </si>
  <si>
    <t>забезпечення вакантних посад посадовими окладами, надбавками за вислугу років, спортивне звання, тощо у необхідному обсязі з метою планомірного та повного заміщення вакантних посад, у тому числі, тренерських</t>
  </si>
  <si>
    <t>Ноутбук - для нового працівника ДРЦ "Інваспорт" у м. Маріуполь</t>
  </si>
  <si>
    <t>Спортивна екіпіровка для тренерів (спорт. Костюми, кросівки, футболки) - 285,0 тис.грн., спортивний інвентар - 177,5 тис.грн.</t>
  </si>
  <si>
    <t>забезпечення вакантних посад посадовими окладами, надбавками у необхідному обсязі з метою планомірного та повного заміщення вакантних посад спеціалістів</t>
  </si>
  <si>
    <t>Придбання спортінвентарю, обладнання</t>
  </si>
  <si>
    <t>Придбання набору меблів для кабінету керівника</t>
  </si>
  <si>
    <t>Забезпечення медичним обладнанням - Реабілітаційна барокамера - 3300,0 тис.грн. та спеціалізованим транспортним засобом для звбезпечення спортивних заходів на території області медичним супроводом - 700,0 тис.грн.</t>
  </si>
  <si>
    <t>З метою планомірного заміщення вакантних посад - забезпечення вакантних посад посадовими окладами, надбавками за вислугу років, тощо у необхідному обсязі.  Граничний обсяг на 2019 рік покриває планування на вакантні посади МЗП.</t>
  </si>
  <si>
    <t>Збільшення забезпеченості медичної частини медикаментами</t>
  </si>
  <si>
    <t>Розширення надання соціальних послуг серед молоді, яка пройшла курс лікування від наркотичної залежності по КУ "Обласний центр ресоціалізації наркозалежної молоді" до 30 клієнтів, що перебуватимуть на цілодобовому обслуговуванні, 198,0 тис. Грн. 2240 - транспортування контингенту КЗ "Донецький обласний центр соціально-психологічної реабілітації дітей та молоді з функціональними обмеженнями" до місця реабілітації та зворотньо</t>
  </si>
  <si>
    <t>Морозильна камера - 9,7 тис.грн., Набір кухонних меблів (3) - 40,8 тис.грн., набрі меблів для кабінету директора - 6,5 тис. грн., водонагрівачі (2) - 13,0 тис.грн. для КЗ "Донецький обласний соціальний центр матері та дитини"</t>
  </si>
  <si>
    <t>Забезпечення виконання вимог Постанови КМУ від 11.07.2018 №564</t>
  </si>
  <si>
    <t>Поліпшення соціально-побутових умов провідних спортсменів області спортсменів та їх тренерів - надання субвенції місцевим бюджетам області на співфінансування 50% вартості придбання житла</t>
  </si>
  <si>
    <t>Збільшення кількості дітей, охоплених оздоровленням та відпочинком в дитячих закладах  оздоровлення та відпочинку, шляхом підвищення спроможності сімей через зменшення розміру батьковської оплати за путівки за рахунок співфінансування місцевих бюджетів всіх рівнів та за участі роботодавців, профспілок</t>
  </si>
  <si>
    <t>Проект передбачає відкриття наметових таборів для проведення дозвілля та неформальної освіти молоді та дітей</t>
  </si>
  <si>
    <t>Проект передбачає відкриття молодіжних центрів по Донецькій області для всебічного розвитку молоді Донецької області завдяки неформальним та інтерактивним методам навчання</t>
  </si>
  <si>
    <t xml:space="preserve">Крім того, міжбюджетні трансферти на виконання заходів Програми економічного і соціального розвитку Донецької області на 2019 рік та основні напрями розвитку на 2020-2021 роки </t>
  </si>
  <si>
    <t>Велосипеди - 200,0 тис.грн., обладнання для відділення кульової стрільби (дуплекс, приціл, скат-тренажер) - 90,0 тис.грн., автомобіль - 600,0 тис.грн.</t>
  </si>
  <si>
    <t>Вирішення соціально-побутових питань 10 провідних спортсменів області та їх тренерів, у тому числі переможців і призерів Олімпійських, Паралімпійських ігор, чемпіонатів світу та Європи, інших головних міжнародних змагань.</t>
  </si>
  <si>
    <t>Надання фінансової підтримки на утримання обласних осередків всеукраїнських організацій фізкультурно-спортивної спрямованості "Динамо" та "Спартак", у т.ч. заробітна плата з нарахуваннями - 846,9 тис. грн., оренда приміщень - 50,0 тис.грн.</t>
  </si>
  <si>
    <t>Збільшення орендної плати за користування спортивними спорудами - 1000,0 тис.грн, 1678,2 тис. грн. - забезпечення календарного плану спортивних заходів на 2019 рік</t>
  </si>
  <si>
    <t>Велосипеди - 475,0 тис.грн., ноутбук - 23,0 тис.грн., Електронна система DAE DO хеквондо ВТФ - 160,0 тис.грн., пістолет, мішень лазерні - 33,2 тис.грн., Універсальний силовий тринажер - 50,0 тис.грн., Поміст тренувальний для важкої атлетики (3) - 60,0 тис.грн., Гриф важкоатлетичний (6) - 90,0 тис.грн., ринг для боксу - 187,0 тис.грн. (для проведення всеукраїнських зоходів з боксу на території регіону)</t>
  </si>
  <si>
    <t>Надання фінансової підтримки дитячо-юнацьким спортивним школам, що підпорядковані місцевим осередкам Всеукраїнських фізкультурно-спортивних товариств: заробітна плата з нарахуваннями - 245,0 тис. грн. - забезпечення вакантних посад посадовими окладами, надбавками за вислугу років, спортивне звання, тощо у необхідному обсязі з метою планомірного та повного заміщення вакантних посад, у тому числі, тренерських, 287,8 тис.грн. - Покращення фінансового забезпечення проведення спортивних заходів (харчування учасників, видатки на відрядження), проведення додаткових заходів згідно календарного плану з метою покращення підготовки та участі у всеукраїнських спортивних заходах, оренда басейну у м. Миколаївка для відкриття нових відділень з плавання</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</si>
</sst>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00"/>
    <numFmt numFmtId="186" formatCode="0.0000"/>
    <numFmt numFmtId="187" formatCode="0.000"/>
    <numFmt numFmtId="188" formatCode="0.0%"/>
    <numFmt numFmtId="189" formatCode="0.00000000"/>
    <numFmt numFmtId="190" formatCode="0.0000000"/>
    <numFmt numFmtId="191" formatCode="0.000000"/>
    <numFmt numFmtId="192" formatCode="0.000000000"/>
    <numFmt numFmtId="193" formatCode="#,##0.0"/>
    <numFmt numFmtId="194" formatCode="0.0000000000"/>
    <numFmt numFmtId="195" formatCode="_-* #,##0.00\ _р_._-;\-* #,##0.00\ _р_._-;_-* &quot;-&quot;??\ _р_._-;_-@_-"/>
  </numFmts>
  <fonts count="75">
    <font>
      <sz val="10"/>
      <name val="Arial Cyr"/>
      <family val="0"/>
    </font>
    <font>
      <b/>
      <sz val="14"/>
      <name val="Times New Roman"/>
      <family val="1"/>
    </font>
    <font>
      <b/>
      <sz val="12"/>
      <name val="Times New Roman"/>
      <family val="1"/>
    </font>
    <font>
      <sz val="12"/>
      <name val="Times New Roman"/>
      <family val="1"/>
    </font>
    <font>
      <sz val="9"/>
      <name val="Times New Roman"/>
      <family val="1"/>
    </font>
    <font>
      <sz val="10"/>
      <name val="Times New Roman"/>
      <family val="1"/>
    </font>
    <font>
      <b/>
      <sz val="10"/>
      <name val="Times New Roman"/>
      <family val="1"/>
    </font>
    <font>
      <b/>
      <sz val="9"/>
      <name val="Times New Roman"/>
      <family val="1"/>
    </font>
    <font>
      <sz val="8"/>
      <name val="Arial Cyr"/>
      <family val="0"/>
    </font>
    <font>
      <i/>
      <sz val="12"/>
      <name val="Times New Roman"/>
      <family val="1"/>
    </font>
    <font>
      <i/>
      <sz val="9"/>
      <name val="Times New Roman"/>
      <family val="1"/>
    </font>
    <font>
      <b/>
      <sz val="10"/>
      <name val="Arial Cyr"/>
      <family val="0"/>
    </font>
    <font>
      <b/>
      <sz val="8"/>
      <name val="Times New Roman"/>
      <family val="1"/>
    </font>
    <font>
      <b/>
      <sz val="16"/>
      <name val="Times New Roman"/>
      <family val="1"/>
    </font>
    <font>
      <b/>
      <u val="single"/>
      <sz val="10"/>
      <name val="Times New Roman"/>
      <family val="1"/>
    </font>
    <font>
      <sz val="10"/>
      <color indexed="8"/>
      <name val="Times New Roman"/>
      <family val="1"/>
    </font>
    <font>
      <sz val="10"/>
      <name val="Helv"/>
      <family val="0"/>
    </font>
    <font>
      <b/>
      <sz val="10"/>
      <color indexed="8"/>
      <name val="Times New Roman"/>
      <family val="1"/>
    </font>
    <font>
      <b/>
      <sz val="7"/>
      <name val="Times New Roman"/>
      <family val="1"/>
    </font>
    <font>
      <sz val="9"/>
      <name val="Arial Cyr"/>
      <family val="0"/>
    </font>
    <font>
      <sz val="9"/>
      <color indexed="8"/>
      <name val="Times New Roman"/>
      <family val="1"/>
    </font>
    <font>
      <b/>
      <sz val="11"/>
      <name val="Times New Roman"/>
      <family val="1"/>
    </font>
    <font>
      <sz val="11"/>
      <color indexed="8"/>
      <name val="Times New Roman"/>
      <family val="1"/>
    </font>
    <font>
      <sz val="11"/>
      <name val="Times New Roman"/>
      <family val="1"/>
    </font>
    <font>
      <sz val="14"/>
      <name val="Times New Roman"/>
      <family val="1"/>
    </font>
    <font>
      <b/>
      <sz val="8"/>
      <name val="Tahoma"/>
      <family val="2"/>
    </font>
    <font>
      <sz val="8"/>
      <name val="Tahoma"/>
      <family val="2"/>
    </font>
    <font>
      <i/>
      <sz val="10"/>
      <name val="Times New Roman"/>
      <family val="1"/>
    </font>
    <font>
      <sz val="10"/>
      <name val="Arial"/>
      <family val="2"/>
    </font>
    <font>
      <b/>
      <sz val="9"/>
      <color indexed="8"/>
      <name val="Times New Roman"/>
      <family val="1"/>
    </font>
    <font>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UkrainianPragmatica"/>
      <family val="0"/>
    </font>
    <font>
      <u val="single"/>
      <sz val="10"/>
      <color indexed="12"/>
      <name val="Arial Cyr"/>
      <family val="0"/>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sz val="10"/>
      <color rgb="FF000000"/>
      <name val="Times New Roman"/>
      <family val="1"/>
    </font>
    <font>
      <sz val="10"/>
      <color rgb="FF000000"/>
      <name val="Times New Roman"/>
      <family val="1"/>
    </font>
    <font>
      <b/>
      <sz val="10"/>
      <color theme="1"/>
      <name val="Times New Roman"/>
      <family val="1"/>
    </font>
    <font>
      <b/>
      <sz val="8"/>
      <name val="Arial Cyr"/>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indexed="43"/>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right style="thin"/>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style="thin"/>
      <right style="thin"/>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ck"/>
    </border>
    <border>
      <left>
        <color indexed="63"/>
      </left>
      <right>
        <color indexed="63"/>
      </right>
      <top>
        <color indexed="63"/>
      </top>
      <bottom style="thin"/>
    </border>
    <border>
      <left>
        <color indexed="63"/>
      </left>
      <right>
        <color indexed="63"/>
      </right>
      <top style="thin"/>
      <bottom>
        <color indexed="63"/>
      </bottom>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11" borderId="0" applyNumberFormat="0" applyBorder="0" applyAlignment="0" applyProtection="0"/>
    <xf numFmtId="0" fontId="31" fillId="20" borderId="0" applyNumberFormat="0" applyBorder="0" applyAlignment="0" applyProtection="0"/>
    <xf numFmtId="0" fontId="31"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32" fillId="3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0" fillId="0" borderId="0">
      <alignment/>
      <protection/>
    </xf>
    <xf numFmtId="0" fontId="52" fillId="34"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43" borderId="0" applyNumberFormat="0" applyBorder="0" applyAlignment="0" applyProtection="0"/>
    <xf numFmtId="0" fontId="33" fillId="13" borderId="1" applyNumberFormat="0" applyAlignment="0" applyProtection="0"/>
    <xf numFmtId="0" fontId="53" fillId="44" borderId="2" applyNumberFormat="0" applyAlignment="0" applyProtection="0"/>
    <xf numFmtId="0" fontId="54" fillId="45" borderId="3" applyNumberFormat="0" applyAlignment="0" applyProtection="0"/>
    <xf numFmtId="0" fontId="55" fillId="45" borderId="2" applyNumberFormat="0" applyAlignment="0" applyProtection="0"/>
    <xf numFmtId="0" fontId="5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10" borderId="0" applyNumberFormat="0" applyBorder="0" applyAlignment="0" applyProtection="0"/>
    <xf numFmtId="0" fontId="57" fillId="0" borderId="4" applyNumberFormat="0" applyFill="0" applyAlignment="0" applyProtection="0"/>
    <xf numFmtId="0" fontId="36" fillId="0" borderId="5" applyNumberFormat="0" applyFill="0" applyAlignment="0" applyProtection="0"/>
    <xf numFmtId="0" fontId="58" fillId="0" borderId="6" applyNumberFormat="0" applyFill="0" applyAlignment="0" applyProtection="0"/>
    <xf numFmtId="0" fontId="37" fillId="0" borderId="7" applyNumberFormat="0" applyFill="0" applyAlignment="0" applyProtection="0"/>
    <xf numFmtId="0" fontId="59" fillId="0" borderId="8" applyNumberFormat="0" applyFill="0" applyAlignment="0" applyProtection="0"/>
    <xf numFmtId="0" fontId="38" fillId="0" borderId="9" applyNumberFormat="0" applyFill="0" applyAlignment="0" applyProtection="0"/>
    <xf numFmtId="0" fontId="59" fillId="0" borderId="0" applyNumberFormat="0" applyFill="0" applyBorder="0" applyAlignment="0" applyProtection="0"/>
    <xf numFmtId="0" fontId="38" fillId="0" borderId="0" applyNumberFormat="0" applyFill="0" applyBorder="0" applyAlignment="0" applyProtection="0"/>
    <xf numFmtId="0" fontId="45" fillId="0" borderId="10" applyNumberFormat="0" applyFill="0" applyAlignment="0" applyProtection="0"/>
    <xf numFmtId="0" fontId="60" fillId="0" borderId="11" applyNumberFormat="0" applyFill="0" applyAlignment="0" applyProtection="0"/>
    <xf numFmtId="0" fontId="40" fillId="46" borderId="12" applyNumberFormat="0" applyAlignment="0" applyProtection="0"/>
    <xf numFmtId="0" fontId="61" fillId="47" borderId="13" applyNumberFormat="0" applyAlignment="0" applyProtection="0"/>
    <xf numFmtId="0" fontId="41" fillId="0" borderId="0" applyNumberFormat="0" applyFill="0" applyBorder="0" applyAlignment="0" applyProtection="0"/>
    <xf numFmtId="0" fontId="62" fillId="0" borderId="0" applyNumberFormat="0" applyFill="0" applyBorder="0" applyAlignment="0" applyProtection="0"/>
    <xf numFmtId="0" fontId="63" fillId="48" borderId="0" applyNumberFormat="0" applyBorder="0" applyAlignment="0" applyProtection="0"/>
    <xf numFmtId="0" fontId="35" fillId="49" borderId="1" applyNumberFormat="0" applyAlignment="0" applyProtection="0"/>
    <xf numFmtId="0" fontId="28" fillId="0" borderId="0">
      <alignment/>
      <protection/>
    </xf>
    <xf numFmtId="0" fontId="5" fillId="0" borderId="0">
      <alignment/>
      <protection/>
    </xf>
    <xf numFmtId="0" fontId="28" fillId="0" borderId="0">
      <alignment/>
      <protection/>
    </xf>
    <xf numFmtId="0" fontId="51" fillId="0" borderId="0">
      <alignment/>
      <protection/>
    </xf>
    <xf numFmtId="0" fontId="51" fillId="0" borderId="0">
      <alignment/>
      <protection/>
    </xf>
    <xf numFmtId="0" fontId="51" fillId="0" borderId="0">
      <alignment/>
      <protection/>
    </xf>
    <xf numFmtId="0" fontId="24" fillId="0" borderId="0">
      <alignment/>
      <protection/>
    </xf>
    <xf numFmtId="0" fontId="24" fillId="0" borderId="0">
      <alignment/>
      <protection/>
    </xf>
    <xf numFmtId="0" fontId="51" fillId="0" borderId="0">
      <alignment/>
      <protection/>
    </xf>
    <xf numFmtId="0" fontId="3" fillId="0" borderId="0">
      <alignment/>
      <protection/>
    </xf>
    <xf numFmtId="0" fontId="3" fillId="0" borderId="0">
      <alignment/>
      <protection/>
    </xf>
    <xf numFmtId="0" fontId="16" fillId="0" borderId="0">
      <alignment/>
      <protection/>
    </xf>
    <xf numFmtId="0" fontId="16" fillId="0" borderId="0">
      <alignment/>
      <protection/>
    </xf>
    <xf numFmtId="0" fontId="24" fillId="0" borderId="0">
      <alignment/>
      <protection/>
    </xf>
    <xf numFmtId="0" fontId="64" fillId="0" borderId="0" applyNumberFormat="0" applyFill="0" applyBorder="0" applyAlignment="0" applyProtection="0"/>
    <xf numFmtId="0" fontId="39" fillId="0" borderId="14" applyNumberFormat="0" applyFill="0" applyAlignment="0" applyProtection="0"/>
    <xf numFmtId="0" fontId="65" fillId="50" borderId="0" applyNumberFormat="0" applyBorder="0" applyAlignment="0" applyProtection="0"/>
    <xf numFmtId="0" fontId="43" fillId="9" borderId="0" applyNumberFormat="0" applyBorder="0" applyAlignment="0" applyProtection="0"/>
    <xf numFmtId="0" fontId="66" fillId="0" borderId="0" applyNumberFormat="0" applyFill="0" applyBorder="0" applyAlignment="0" applyProtection="0"/>
    <xf numFmtId="0" fontId="0" fillId="51" borderId="15" applyNumberFormat="0" applyFont="0" applyAlignment="0" applyProtection="0"/>
    <xf numFmtId="0" fontId="0" fillId="52"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51" fillId="0" borderId="0" applyFont="0" applyFill="0" applyBorder="0" applyAlignment="0" applyProtection="0"/>
    <xf numFmtId="0" fontId="34" fillId="49" borderId="17" applyNumberFormat="0" applyAlignment="0" applyProtection="0"/>
    <xf numFmtId="0" fontId="67" fillId="0" borderId="18" applyNumberFormat="0" applyFill="0" applyAlignment="0" applyProtection="0"/>
    <xf numFmtId="0" fontId="42" fillId="53" borderId="0" applyNumberFormat="0" applyBorder="0" applyAlignment="0" applyProtection="0"/>
    <xf numFmtId="0" fontId="16" fillId="0" borderId="0">
      <alignment/>
      <protection/>
    </xf>
    <xf numFmtId="0" fontId="46" fillId="0" borderId="0" applyNumberFormat="0" applyFill="0" applyBorder="0" applyAlignment="0" applyProtection="0"/>
    <xf numFmtId="0" fontId="44" fillId="0" borderId="0" applyNumberFormat="0" applyFill="0" applyBorder="0" applyAlignment="0" applyProtection="0"/>
    <xf numFmtId="0" fontId="68" fillId="0" borderId="0" applyNumberFormat="0" applyFill="0" applyBorder="0" applyAlignment="0" applyProtection="0"/>
    <xf numFmtId="177" fontId="0" fillId="0" borderId="0" applyFont="0" applyFill="0" applyBorder="0" applyAlignment="0" applyProtection="0"/>
    <xf numFmtId="195" fontId="48"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51" fillId="0" borderId="0" applyFont="0" applyFill="0" applyBorder="0" applyAlignment="0" applyProtection="0"/>
    <xf numFmtId="0" fontId="69" fillId="54" borderId="0" applyNumberFormat="0" applyBorder="0" applyAlignment="0" applyProtection="0"/>
  </cellStyleXfs>
  <cellXfs count="561">
    <xf numFmtId="0" fontId="0" fillId="0" borderId="0" xfId="0" applyAlignment="1">
      <alignment/>
    </xf>
    <xf numFmtId="0" fontId="2" fillId="0" borderId="0" xfId="0" applyFont="1" applyAlignment="1">
      <alignment horizontal="justify"/>
    </xf>
    <xf numFmtId="0" fontId="4" fillId="0" borderId="0" xfId="0" applyFont="1" applyAlignment="1">
      <alignment horizontal="right"/>
    </xf>
    <xf numFmtId="0" fontId="7" fillId="0" borderId="0" xfId="0" applyFont="1" applyAlignment="1">
      <alignment/>
    </xf>
    <xf numFmtId="0" fontId="4" fillId="0" borderId="0" xfId="0" applyFont="1" applyAlignment="1">
      <alignment/>
    </xf>
    <xf numFmtId="0" fontId="2" fillId="0" borderId="0" xfId="0" applyFont="1" applyAlignment="1">
      <alignment horizontal="justify" vertical="top" wrapText="1"/>
    </xf>
    <xf numFmtId="0" fontId="5" fillId="0" borderId="19" xfId="0" applyFont="1" applyBorder="1" applyAlignment="1">
      <alignment vertical="top" wrapText="1"/>
    </xf>
    <xf numFmtId="0" fontId="6" fillId="0" borderId="19" xfId="0" applyFont="1" applyBorder="1" applyAlignment="1">
      <alignment vertical="top" wrapText="1"/>
    </xf>
    <xf numFmtId="0" fontId="5" fillId="0" borderId="19" xfId="0" applyFont="1" applyBorder="1" applyAlignment="1">
      <alignment horizontal="center" vertical="center" wrapText="1"/>
    </xf>
    <xf numFmtId="0" fontId="3" fillId="0" borderId="0" xfId="0" applyFont="1" applyAlignment="1">
      <alignment vertical="top" wrapText="1"/>
    </xf>
    <xf numFmtId="0" fontId="2" fillId="0" borderId="0" xfId="0" applyFont="1" applyAlignment="1">
      <alignment vertical="top" wrapText="1"/>
    </xf>
    <xf numFmtId="0" fontId="4" fillId="0" borderId="19" xfId="0" applyFont="1" applyBorder="1" applyAlignment="1">
      <alignment horizontal="center" wrapText="1"/>
    </xf>
    <xf numFmtId="0" fontId="4" fillId="0" borderId="19" xfId="0" applyFont="1" applyBorder="1" applyAlignment="1">
      <alignment vertical="top" wrapText="1"/>
    </xf>
    <xf numFmtId="0" fontId="10" fillId="0" borderId="19" xfId="0" applyFont="1" applyBorder="1" applyAlignment="1">
      <alignment vertical="top" wrapText="1"/>
    </xf>
    <xf numFmtId="0" fontId="4" fillId="0" borderId="19" xfId="0" applyFont="1" applyBorder="1" applyAlignment="1">
      <alignment horizontal="center" vertical="center" wrapText="1"/>
    </xf>
    <xf numFmtId="0" fontId="4" fillId="0" borderId="20" xfId="0" applyFont="1" applyBorder="1" applyAlignment="1">
      <alignment vertical="top" wrapText="1"/>
    </xf>
    <xf numFmtId="0" fontId="4" fillId="0" borderId="21" xfId="0" applyFont="1" applyBorder="1" applyAlignment="1">
      <alignment horizontal="center" wrapText="1"/>
    </xf>
    <xf numFmtId="0" fontId="4" fillId="0" borderId="21" xfId="0" applyFont="1" applyBorder="1" applyAlignment="1">
      <alignment horizontal="center" vertical="top" wrapText="1"/>
    </xf>
    <xf numFmtId="0" fontId="7" fillId="0" borderId="19" xfId="0" applyFont="1" applyBorder="1" applyAlignment="1">
      <alignment vertical="top" wrapText="1"/>
    </xf>
    <xf numFmtId="0" fontId="11" fillId="0" borderId="0" xfId="0" applyFont="1" applyAlignment="1">
      <alignment/>
    </xf>
    <xf numFmtId="0" fontId="6" fillId="0" borderId="19" xfId="0" applyFont="1" applyBorder="1" applyAlignment="1">
      <alignment horizontal="justify" vertical="top" wrapText="1"/>
    </xf>
    <xf numFmtId="0" fontId="5" fillId="0" borderId="20" xfId="0" applyFont="1" applyBorder="1" applyAlignment="1">
      <alignment vertical="top" wrapText="1"/>
    </xf>
    <xf numFmtId="0" fontId="7" fillId="0" borderId="0" xfId="0" applyFont="1" applyAlignment="1">
      <alignment horizontal="justify"/>
    </xf>
    <xf numFmtId="0" fontId="7" fillId="0" borderId="19" xfId="0" applyFont="1" applyBorder="1" applyAlignment="1">
      <alignment horizontal="right" vertical="top" wrapText="1"/>
    </xf>
    <xf numFmtId="0" fontId="7" fillId="0" borderId="20" xfId="0" applyFont="1" applyBorder="1" applyAlignment="1">
      <alignment vertical="top" wrapText="1"/>
    </xf>
    <xf numFmtId="0" fontId="4" fillId="0" borderId="20" xfId="0" applyFont="1" applyBorder="1" applyAlignment="1">
      <alignment horizontal="center" wrapText="1"/>
    </xf>
    <xf numFmtId="0" fontId="10" fillId="0" borderId="20" xfId="0" applyFont="1" applyBorder="1" applyAlignment="1">
      <alignment vertical="top" wrapText="1"/>
    </xf>
    <xf numFmtId="0" fontId="6" fillId="0" borderId="19" xfId="97" applyFont="1" applyFill="1" applyBorder="1" applyAlignment="1">
      <alignment horizontal="center" vertical="center" wrapText="1"/>
      <protection/>
    </xf>
    <xf numFmtId="0" fontId="6" fillId="0" borderId="19" xfId="97" applyFont="1" applyFill="1" applyBorder="1" applyAlignment="1">
      <alignment horizontal="left" vertical="center" wrapText="1"/>
      <protection/>
    </xf>
    <xf numFmtId="0" fontId="5" fillId="0" borderId="19" xfId="97" applyFont="1" applyFill="1" applyBorder="1" applyAlignment="1">
      <alignment horizontal="center" vertical="center" wrapText="1"/>
      <protection/>
    </xf>
    <xf numFmtId="0" fontId="5" fillId="0" borderId="19" xfId="97" applyFont="1" applyFill="1" applyBorder="1" applyAlignment="1">
      <alignment horizontal="left" vertical="center" wrapText="1"/>
      <protection/>
    </xf>
    <xf numFmtId="0" fontId="5" fillId="0" borderId="19" xfId="98" applyFont="1" applyFill="1" applyBorder="1" applyAlignment="1">
      <alignment horizontal="center" vertical="top" wrapText="1"/>
      <protection/>
    </xf>
    <xf numFmtId="0" fontId="5" fillId="0" borderId="19" xfId="98" applyFont="1" applyFill="1" applyBorder="1" applyAlignment="1">
      <alignment horizontal="left" vertical="top" wrapText="1"/>
      <protection/>
    </xf>
    <xf numFmtId="184" fontId="6" fillId="0" borderId="19" xfId="0" applyNumberFormat="1" applyFont="1" applyFill="1" applyBorder="1" applyAlignment="1">
      <alignment horizontal="center" vertical="center" wrapText="1"/>
    </xf>
    <xf numFmtId="184" fontId="6" fillId="0" borderId="19" xfId="0" applyNumberFormat="1" applyFont="1" applyBorder="1" applyAlignment="1">
      <alignment horizontal="center" vertical="top" wrapText="1"/>
    </xf>
    <xf numFmtId="184" fontId="5" fillId="0" borderId="19" xfId="0" applyNumberFormat="1" applyFont="1" applyFill="1" applyBorder="1" applyAlignment="1">
      <alignment horizontal="center" vertical="center" wrapText="1"/>
    </xf>
    <xf numFmtId="0" fontId="6" fillId="55" borderId="19" xfId="0" applyFont="1" applyFill="1" applyBorder="1" applyAlignment="1">
      <alignment vertical="top" wrapText="1"/>
    </xf>
    <xf numFmtId="0" fontId="11" fillId="55" borderId="0" xfId="0" applyFont="1" applyFill="1" applyAlignment="1">
      <alignment/>
    </xf>
    <xf numFmtId="0" fontId="4" fillId="0" borderId="22" xfId="0" applyFont="1" applyBorder="1" applyAlignment="1">
      <alignment horizontal="center" vertical="top" wrapText="1"/>
    </xf>
    <xf numFmtId="0" fontId="6" fillId="56" borderId="19" xfId="0" applyFont="1" applyFill="1" applyBorder="1" applyAlignment="1">
      <alignment horizontal="center" vertical="top" wrapText="1"/>
    </xf>
    <xf numFmtId="184" fontId="6" fillId="0" borderId="20" xfId="0" applyNumberFormat="1" applyFont="1" applyBorder="1" applyAlignment="1">
      <alignment horizontal="center" vertical="top" wrapText="1"/>
    </xf>
    <xf numFmtId="184" fontId="5" fillId="0" borderId="20" xfId="0" applyNumberFormat="1" applyFont="1" applyBorder="1" applyAlignment="1">
      <alignment horizontal="center" vertical="top" wrapText="1"/>
    </xf>
    <xf numFmtId="184" fontId="5" fillId="0" borderId="19" xfId="0" applyNumberFormat="1" applyFont="1" applyBorder="1" applyAlignment="1">
      <alignment horizontal="center" vertical="top" wrapText="1"/>
    </xf>
    <xf numFmtId="184" fontId="6" fillId="55" borderId="19" xfId="0" applyNumberFormat="1" applyFont="1" applyFill="1" applyBorder="1" applyAlignment="1">
      <alignment horizontal="center" vertical="top" wrapText="1"/>
    </xf>
    <xf numFmtId="184" fontId="7" fillId="55" borderId="23" xfId="0" applyNumberFormat="1" applyFont="1" applyFill="1" applyBorder="1" applyAlignment="1">
      <alignment horizontal="center" vertical="top" wrapText="1"/>
    </xf>
    <xf numFmtId="184" fontId="6" fillId="55" borderId="19" xfId="0" applyNumberFormat="1" applyFont="1" applyFill="1" applyBorder="1" applyAlignment="1">
      <alignment horizontal="center" vertical="center" wrapText="1"/>
    </xf>
    <xf numFmtId="0" fontId="5" fillId="6" borderId="19" xfId="0" applyFont="1" applyFill="1" applyBorder="1" applyAlignment="1">
      <alignment vertical="top" wrapText="1"/>
    </xf>
    <xf numFmtId="184" fontId="6" fillId="6" borderId="19" xfId="0" applyNumberFormat="1" applyFont="1" applyFill="1" applyBorder="1" applyAlignment="1">
      <alignment horizontal="center" vertical="center" wrapText="1"/>
    </xf>
    <xf numFmtId="0" fontId="0" fillId="6" borderId="0" xfId="0" applyFill="1" applyAlignment="1">
      <alignment/>
    </xf>
    <xf numFmtId="184" fontId="5" fillId="6" borderId="19" xfId="0" applyNumberFormat="1" applyFont="1" applyFill="1" applyBorder="1" applyAlignment="1">
      <alignment horizontal="center" vertical="top" wrapText="1"/>
    </xf>
    <xf numFmtId="184" fontId="6" fillId="6" borderId="19" xfId="0" applyNumberFormat="1" applyFont="1" applyFill="1" applyBorder="1" applyAlignment="1">
      <alignment horizontal="center" vertical="top" wrapText="1"/>
    </xf>
    <xf numFmtId="184" fontId="6" fillId="0" borderId="24" xfId="0" applyNumberFormat="1" applyFont="1" applyFill="1" applyBorder="1" applyAlignment="1">
      <alignment horizontal="center" vertical="top" wrapText="1"/>
    </xf>
    <xf numFmtId="184" fontId="0" fillId="0" borderId="0" xfId="0" applyNumberFormat="1" applyAlignment="1">
      <alignment/>
    </xf>
    <xf numFmtId="184" fontId="5" fillId="0" borderId="19" xfId="0" applyNumberFormat="1" applyFont="1" applyBorder="1" applyAlignment="1">
      <alignment horizontal="center" vertical="center" wrapText="1"/>
    </xf>
    <xf numFmtId="0" fontId="4" fillId="55" borderId="23" xfId="0" applyFont="1" applyFill="1" applyBorder="1" applyAlignment="1">
      <alignment horizontal="center" vertical="top" wrapText="1"/>
    </xf>
    <xf numFmtId="0" fontId="0" fillId="55" borderId="0" xfId="0" applyFill="1" applyAlignment="1">
      <alignment/>
    </xf>
    <xf numFmtId="0" fontId="6" fillId="55" borderId="19" xfId="0" applyFont="1" applyFill="1" applyBorder="1" applyAlignment="1">
      <alignment horizontal="center" vertical="top" wrapText="1"/>
    </xf>
    <xf numFmtId="0" fontId="4" fillId="55" borderId="19" xfId="0" applyFont="1" applyFill="1" applyBorder="1" applyAlignment="1">
      <alignment horizontal="center" vertical="top" wrapText="1"/>
    </xf>
    <xf numFmtId="0" fontId="4" fillId="56" borderId="23" xfId="0" applyFont="1" applyFill="1" applyBorder="1" applyAlignment="1">
      <alignment horizontal="center" vertical="top" wrapText="1"/>
    </xf>
    <xf numFmtId="0" fontId="4" fillId="56" borderId="19" xfId="0" applyFont="1" applyFill="1" applyBorder="1" applyAlignment="1">
      <alignment horizontal="center" vertical="top" wrapText="1"/>
    </xf>
    <xf numFmtId="0" fontId="0" fillId="56" borderId="0" xfId="0" applyFill="1" applyAlignment="1">
      <alignment/>
    </xf>
    <xf numFmtId="184" fontId="6" fillId="0" borderId="19" xfId="0" applyNumberFormat="1" applyFont="1" applyFill="1" applyBorder="1" applyAlignment="1">
      <alignment vertical="center" wrapText="1"/>
    </xf>
    <xf numFmtId="0" fontId="15" fillId="57" borderId="19" xfId="0" applyFont="1" applyFill="1" applyBorder="1" applyAlignment="1">
      <alignment horizontal="center" vertical="center" wrapText="1"/>
    </xf>
    <xf numFmtId="184" fontId="5" fillId="0" borderId="19" xfId="0" applyNumberFormat="1" applyFont="1" applyBorder="1" applyAlignment="1">
      <alignment horizontal="left" vertical="center" wrapText="1"/>
    </xf>
    <xf numFmtId="0" fontId="5" fillId="56" borderId="19" xfId="0" applyFont="1" applyFill="1" applyBorder="1" applyAlignment="1">
      <alignment vertical="center" wrapText="1"/>
    </xf>
    <xf numFmtId="0" fontId="5" fillId="56" borderId="19" xfId="0" applyFont="1" applyFill="1" applyBorder="1" applyAlignment="1">
      <alignment horizontal="center" vertical="center" wrapText="1"/>
    </xf>
    <xf numFmtId="2" fontId="4" fillId="56" borderId="19" xfId="0" applyNumberFormat="1" applyFont="1" applyFill="1" applyBorder="1" applyAlignment="1">
      <alignment horizontal="center" vertical="top" wrapText="1"/>
    </xf>
    <xf numFmtId="184" fontId="4" fillId="56" borderId="19" xfId="0" applyNumberFormat="1" applyFont="1" applyFill="1" applyBorder="1" applyAlignment="1">
      <alignment horizontal="center" vertical="top" wrapText="1"/>
    </xf>
    <xf numFmtId="0" fontId="4" fillId="6" borderId="23" xfId="0" applyFont="1" applyFill="1" applyBorder="1" applyAlignment="1">
      <alignment horizontal="center" vertical="top" wrapText="1"/>
    </xf>
    <xf numFmtId="0" fontId="6" fillId="6" borderId="19" xfId="0" applyFont="1" applyFill="1" applyBorder="1" applyAlignment="1">
      <alignment horizontal="center" vertical="top" wrapText="1"/>
    </xf>
    <xf numFmtId="0" fontId="1" fillId="56" borderId="0" xfId="0" applyFont="1" applyFill="1" applyAlignment="1">
      <alignment horizontal="center"/>
    </xf>
    <xf numFmtId="0" fontId="4" fillId="56" borderId="0" xfId="0" applyFont="1" applyFill="1" applyAlignment="1">
      <alignment horizontal="right"/>
    </xf>
    <xf numFmtId="0" fontId="4" fillId="56" borderId="19" xfId="0" applyFont="1" applyFill="1" applyBorder="1" applyAlignment="1">
      <alignment horizontal="center" vertical="center" wrapText="1"/>
    </xf>
    <xf numFmtId="0" fontId="4" fillId="56" borderId="21" xfId="0" applyFont="1" applyFill="1" applyBorder="1" applyAlignment="1">
      <alignment horizontal="center" vertical="top" wrapText="1"/>
    </xf>
    <xf numFmtId="0" fontId="0" fillId="0" borderId="0" xfId="0" applyAlignment="1">
      <alignment horizontal="center" vertical="center"/>
    </xf>
    <xf numFmtId="184" fontId="6" fillId="56" borderId="19" xfId="0" applyNumberFormat="1" applyFont="1" applyFill="1" applyBorder="1" applyAlignment="1">
      <alignment horizontal="center" vertical="top" wrapText="1"/>
    </xf>
    <xf numFmtId="184" fontId="5" fillId="56" borderId="20" xfId="0" applyNumberFormat="1" applyFont="1" applyFill="1" applyBorder="1" applyAlignment="1">
      <alignment horizontal="center" vertical="top" wrapText="1"/>
    </xf>
    <xf numFmtId="0" fontId="6" fillId="6" borderId="19" xfId="0" applyFont="1" applyFill="1" applyBorder="1" applyAlignment="1">
      <alignment vertical="top" wrapText="1"/>
    </xf>
    <xf numFmtId="0" fontId="0" fillId="0" borderId="0" xfId="0" applyFill="1" applyAlignment="1">
      <alignment/>
    </xf>
    <xf numFmtId="0" fontId="6" fillId="6" borderId="19" xfId="97" applyFont="1" applyFill="1" applyBorder="1" applyAlignment="1">
      <alignment horizontal="center" vertical="center" wrapText="1"/>
      <protection/>
    </xf>
    <xf numFmtId="0" fontId="6" fillId="6" borderId="19" xfId="97" applyFont="1" applyFill="1" applyBorder="1" applyAlignment="1">
      <alignment horizontal="left" vertical="center" wrapText="1"/>
      <protection/>
    </xf>
    <xf numFmtId="0" fontId="5" fillId="6" borderId="19" xfId="97" applyFont="1" applyFill="1" applyBorder="1" applyAlignment="1">
      <alignment horizontal="center" vertical="center" wrapText="1"/>
      <protection/>
    </xf>
    <xf numFmtId="0" fontId="5" fillId="6" borderId="19" xfId="97" applyFont="1" applyFill="1" applyBorder="1" applyAlignment="1">
      <alignment horizontal="left" vertical="center" wrapText="1"/>
      <protection/>
    </xf>
    <xf numFmtId="0" fontId="6" fillId="6" borderId="19" xfId="0" applyFont="1" applyFill="1" applyBorder="1" applyAlignment="1">
      <alignment horizontal="justify" vertical="top" wrapText="1"/>
    </xf>
    <xf numFmtId="0" fontId="5" fillId="6" borderId="19" xfId="98" applyFont="1" applyFill="1" applyBorder="1" applyAlignment="1">
      <alignment horizontal="center" vertical="top" wrapText="1"/>
      <protection/>
    </xf>
    <xf numFmtId="0" fontId="5" fillId="6" borderId="19" xfId="98" applyFont="1" applyFill="1" applyBorder="1" applyAlignment="1">
      <alignment horizontal="left" vertical="top" wrapText="1"/>
      <protection/>
    </xf>
    <xf numFmtId="184" fontId="5" fillId="6" borderId="19" xfId="0" applyNumberFormat="1" applyFont="1" applyFill="1" applyBorder="1" applyAlignment="1">
      <alignment horizontal="center" vertical="center" wrapText="1"/>
    </xf>
    <xf numFmtId="0" fontId="4" fillId="0" borderId="0" xfId="0" applyFont="1" applyFill="1" applyAlignment="1">
      <alignment horizontal="right"/>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top" wrapText="1"/>
    </xf>
    <xf numFmtId="0" fontId="7" fillId="0" borderId="20" xfId="0" applyFont="1" applyFill="1" applyBorder="1" applyAlignment="1">
      <alignment vertical="top" wrapText="1"/>
    </xf>
    <xf numFmtId="0" fontId="0" fillId="0" borderId="20" xfId="0" applyFill="1" applyBorder="1" applyAlignment="1">
      <alignment/>
    </xf>
    <xf numFmtId="0" fontId="7" fillId="0" borderId="19" xfId="0" applyFont="1" applyFill="1" applyBorder="1" applyAlignment="1">
      <alignment vertical="top" wrapText="1"/>
    </xf>
    <xf numFmtId="0" fontId="4" fillId="0" borderId="19" xfId="0" applyFont="1" applyFill="1" applyBorder="1" applyAlignment="1">
      <alignment vertical="top" wrapText="1"/>
    </xf>
    <xf numFmtId="0" fontId="0" fillId="0" borderId="19" xfId="0" applyFill="1" applyBorder="1" applyAlignment="1">
      <alignment/>
    </xf>
    <xf numFmtId="0" fontId="12" fillId="0" borderId="0" xfId="0" applyFont="1" applyFill="1" applyAlignment="1">
      <alignment horizontal="justify"/>
    </xf>
    <xf numFmtId="184" fontId="7" fillId="0" borderId="20" xfId="0" applyNumberFormat="1" applyFont="1" applyFill="1" applyBorder="1" applyAlignment="1">
      <alignment vertical="top" wrapText="1"/>
    </xf>
    <xf numFmtId="0" fontId="7" fillId="0" borderId="20" xfId="0" applyFont="1" applyFill="1" applyBorder="1" applyAlignment="1">
      <alignment horizontal="center" vertical="center" wrapText="1"/>
    </xf>
    <xf numFmtId="0" fontId="4" fillId="0" borderId="20" xfId="0" applyFont="1" applyFill="1" applyBorder="1" applyAlignment="1">
      <alignment vertical="top" wrapText="1"/>
    </xf>
    <xf numFmtId="0" fontId="7" fillId="0" borderId="25" xfId="0" applyFont="1" applyFill="1" applyBorder="1" applyAlignment="1">
      <alignment vertical="top" wrapText="1"/>
    </xf>
    <xf numFmtId="0" fontId="4" fillId="0" borderId="23" xfId="0" applyFont="1" applyFill="1" applyBorder="1" applyAlignment="1">
      <alignment vertical="top" wrapText="1"/>
    </xf>
    <xf numFmtId="0" fontId="70" fillId="0" borderId="19" xfId="0" applyFont="1" applyBorder="1" applyAlignment="1">
      <alignment vertical="center" wrapText="1"/>
    </xf>
    <xf numFmtId="4" fontId="7" fillId="0" borderId="20" xfId="0" applyNumberFormat="1" applyFont="1" applyFill="1" applyBorder="1" applyAlignment="1">
      <alignment vertical="top" wrapText="1"/>
    </xf>
    <xf numFmtId="193" fontId="7" fillId="0" borderId="20" xfId="0" applyNumberFormat="1" applyFont="1" applyFill="1" applyBorder="1" applyAlignment="1">
      <alignment vertical="top" wrapText="1"/>
    </xf>
    <xf numFmtId="0" fontId="4" fillId="55" borderId="19" xfId="0" applyFont="1" applyFill="1" applyBorder="1" applyAlignment="1">
      <alignment vertical="top" wrapText="1"/>
    </xf>
    <xf numFmtId="2" fontId="7" fillId="0" borderId="19" xfId="0" applyNumberFormat="1" applyFont="1" applyFill="1" applyBorder="1" applyAlignment="1">
      <alignment vertical="top" wrapText="1"/>
    </xf>
    <xf numFmtId="2" fontId="7" fillId="0" borderId="20" xfId="0" applyNumberFormat="1" applyFont="1" applyFill="1" applyBorder="1" applyAlignment="1">
      <alignment vertical="top" wrapText="1"/>
    </xf>
    <xf numFmtId="2" fontId="0" fillId="0" borderId="19" xfId="0" applyNumberFormat="1" applyFill="1" applyBorder="1" applyAlignment="1">
      <alignment/>
    </xf>
    <xf numFmtId="0" fontId="5" fillId="56" borderId="0" xfId="0" applyFont="1" applyFill="1" applyAlignment="1">
      <alignment horizontal="left"/>
    </xf>
    <xf numFmtId="0" fontId="4" fillId="56" borderId="19" xfId="0" applyFont="1" applyFill="1" applyBorder="1" applyAlignment="1">
      <alignment horizontal="center" vertical="center" wrapText="1"/>
    </xf>
    <xf numFmtId="0" fontId="4" fillId="56" borderId="21" xfId="0" applyFont="1" applyFill="1" applyBorder="1" applyAlignment="1">
      <alignment horizontal="center" vertical="top" wrapText="1"/>
    </xf>
    <xf numFmtId="0" fontId="4" fillId="56" borderId="19" xfId="0" applyFont="1" applyFill="1" applyBorder="1" applyAlignment="1">
      <alignment horizontal="center" vertical="center" wrapText="1"/>
    </xf>
    <xf numFmtId="0" fontId="5" fillId="56" borderId="0" xfId="0" applyFont="1" applyFill="1" applyAlignment="1">
      <alignment horizontal="left"/>
    </xf>
    <xf numFmtId="0" fontId="4" fillId="56" borderId="21" xfId="0" applyFont="1" applyFill="1" applyBorder="1" applyAlignment="1">
      <alignment horizontal="center" vertical="top" wrapText="1"/>
    </xf>
    <xf numFmtId="0" fontId="4" fillId="55" borderId="19" xfId="0" applyFont="1" applyFill="1" applyBorder="1" applyAlignment="1">
      <alignment horizontal="center" vertical="top" wrapText="1"/>
    </xf>
    <xf numFmtId="0" fontId="2"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alignment horizontal="center"/>
    </xf>
    <xf numFmtId="0" fontId="0" fillId="0" borderId="0" xfId="0" applyFont="1" applyFill="1" applyAlignment="1">
      <alignment/>
    </xf>
    <xf numFmtId="184" fontId="6" fillId="6" borderId="20" xfId="0" applyNumberFormat="1" applyFont="1" applyFill="1" applyBorder="1" applyAlignment="1">
      <alignment horizontal="center" vertical="top" wrapText="1"/>
    </xf>
    <xf numFmtId="184" fontId="7" fillId="6" borderId="23" xfId="0" applyNumberFormat="1" applyFont="1" applyFill="1" applyBorder="1" applyAlignment="1">
      <alignment horizontal="center" vertical="top" wrapText="1"/>
    </xf>
    <xf numFmtId="184" fontId="7" fillId="6" borderId="19" xfId="0" applyNumberFormat="1" applyFont="1" applyFill="1" applyBorder="1" applyAlignment="1">
      <alignment horizontal="center" vertical="top" wrapText="1"/>
    </xf>
    <xf numFmtId="0" fontId="6" fillId="55" borderId="19" xfId="0" applyFont="1" applyFill="1" applyBorder="1" applyAlignment="1">
      <alignment vertical="top" wrapText="1"/>
    </xf>
    <xf numFmtId="0" fontId="6" fillId="55" borderId="19" xfId="0" applyFont="1" applyFill="1" applyBorder="1" applyAlignment="1">
      <alignment vertical="top" wrapText="1"/>
    </xf>
    <xf numFmtId="0" fontId="5" fillId="6" borderId="19" xfId="0" applyFont="1" applyFill="1" applyBorder="1" applyAlignment="1">
      <alignment vertical="top" wrapText="1"/>
    </xf>
    <xf numFmtId="0" fontId="11" fillId="6" borderId="0" xfId="0" applyFont="1" applyFill="1" applyAlignment="1">
      <alignment/>
    </xf>
    <xf numFmtId="0" fontId="5" fillId="6" borderId="19" xfId="0" applyFont="1" applyFill="1" applyBorder="1" applyAlignment="1">
      <alignment vertical="top" wrapText="1"/>
    </xf>
    <xf numFmtId="0" fontId="5" fillId="6" borderId="19" xfId="0" applyFont="1" applyFill="1" applyBorder="1" applyAlignment="1">
      <alignment vertical="top" wrapText="1"/>
    </xf>
    <xf numFmtId="0" fontId="11" fillId="6" borderId="0" xfId="0" applyFont="1" applyFill="1" applyAlignment="1">
      <alignment/>
    </xf>
    <xf numFmtId="0" fontId="6" fillId="55" borderId="19" xfId="0" applyFont="1" applyFill="1" applyBorder="1" applyAlignment="1">
      <alignment vertical="top" wrapText="1"/>
    </xf>
    <xf numFmtId="0" fontId="5" fillId="6" borderId="19" xfId="0" applyFont="1" applyFill="1" applyBorder="1" applyAlignment="1">
      <alignment vertical="top" wrapText="1"/>
    </xf>
    <xf numFmtId="0" fontId="6" fillId="55" borderId="19" xfId="0" applyFont="1" applyFill="1" applyBorder="1" applyAlignment="1">
      <alignment vertical="top" wrapText="1"/>
    </xf>
    <xf numFmtId="0" fontId="5" fillId="6" borderId="19" xfId="0" applyFont="1" applyFill="1" applyBorder="1" applyAlignment="1">
      <alignment vertical="top" wrapText="1"/>
    </xf>
    <xf numFmtId="0" fontId="11" fillId="6" borderId="0" xfId="0" applyFont="1" applyFill="1" applyAlignment="1">
      <alignment/>
    </xf>
    <xf numFmtId="0" fontId="5" fillId="6" borderId="19" xfId="0" applyFont="1" applyFill="1" applyBorder="1" applyAlignment="1">
      <alignment vertical="top" wrapText="1"/>
    </xf>
    <xf numFmtId="184" fontId="7" fillId="55" borderId="19" xfId="0" applyNumberFormat="1" applyFont="1" applyFill="1" applyBorder="1" applyAlignment="1">
      <alignment horizontal="center" vertical="top" wrapText="1"/>
    </xf>
    <xf numFmtId="0" fontId="5" fillId="6" borderId="19" xfId="0" applyFont="1" applyFill="1" applyBorder="1" applyAlignment="1">
      <alignment vertical="top" wrapText="1"/>
    </xf>
    <xf numFmtId="0" fontId="6" fillId="55" borderId="19" xfId="0" applyFont="1" applyFill="1" applyBorder="1" applyAlignment="1">
      <alignment horizontal="center" vertical="top" wrapText="1"/>
    </xf>
    <xf numFmtId="0" fontId="6" fillId="55" borderId="19" xfId="0" applyFont="1" applyFill="1" applyBorder="1" applyAlignment="1">
      <alignment vertical="top" wrapText="1"/>
    </xf>
    <xf numFmtId="0" fontId="11" fillId="6" borderId="0" xfId="0" applyFont="1" applyFill="1" applyAlignment="1">
      <alignment/>
    </xf>
    <xf numFmtId="0" fontId="6" fillId="55" borderId="19" xfId="0" applyFont="1" applyFill="1" applyBorder="1" applyAlignment="1">
      <alignment vertical="top" wrapText="1"/>
    </xf>
    <xf numFmtId="0" fontId="5" fillId="6" borderId="19" xfId="0" applyFont="1" applyFill="1" applyBorder="1" applyAlignment="1">
      <alignment vertical="top" wrapText="1"/>
    </xf>
    <xf numFmtId="0" fontId="6" fillId="55" borderId="19" xfId="0" applyFont="1" applyFill="1" applyBorder="1" applyAlignment="1">
      <alignment vertical="top" wrapText="1"/>
    </xf>
    <xf numFmtId="0" fontId="5" fillId="6" borderId="19" xfId="0" applyFont="1" applyFill="1" applyBorder="1" applyAlignment="1">
      <alignment vertical="top" wrapText="1"/>
    </xf>
    <xf numFmtId="0" fontId="11" fillId="6" borderId="0" xfId="0" applyFont="1" applyFill="1" applyAlignment="1">
      <alignment/>
    </xf>
    <xf numFmtId="0" fontId="5" fillId="6" borderId="19" xfId="0" applyFont="1" applyFill="1" applyBorder="1" applyAlignment="1">
      <alignment vertical="top" wrapText="1"/>
    </xf>
    <xf numFmtId="184" fontId="7" fillId="55" borderId="23" xfId="0" applyNumberFormat="1" applyFont="1" applyFill="1" applyBorder="1" applyAlignment="1">
      <alignment horizontal="center" vertical="top" wrapText="1"/>
    </xf>
    <xf numFmtId="0" fontId="5" fillId="6" borderId="19" xfId="0" applyFont="1" applyFill="1" applyBorder="1" applyAlignment="1">
      <alignment vertical="top" wrapText="1"/>
    </xf>
    <xf numFmtId="0" fontId="5" fillId="6" borderId="19" xfId="0" applyFont="1" applyFill="1" applyBorder="1" applyAlignment="1">
      <alignment vertical="top" wrapText="1"/>
    </xf>
    <xf numFmtId="184" fontId="6" fillId="6" borderId="19" xfId="0" applyNumberFormat="1" applyFont="1" applyFill="1" applyBorder="1" applyAlignment="1">
      <alignment horizontal="center" vertical="center" wrapText="1"/>
    </xf>
    <xf numFmtId="0" fontId="0" fillId="6" borderId="0" xfId="0" applyFill="1" applyAlignment="1">
      <alignment/>
    </xf>
    <xf numFmtId="0" fontId="6" fillId="6" borderId="19" xfId="0" applyFont="1" applyFill="1" applyBorder="1" applyAlignment="1">
      <alignment vertical="top" wrapText="1"/>
    </xf>
    <xf numFmtId="0" fontId="5" fillId="6" borderId="20" xfId="0" applyFont="1" applyFill="1" applyBorder="1" applyAlignment="1">
      <alignment vertical="top" wrapText="1"/>
    </xf>
    <xf numFmtId="0" fontId="11" fillId="6" borderId="0" xfId="0" applyFont="1" applyFill="1" applyAlignment="1">
      <alignment/>
    </xf>
    <xf numFmtId="0" fontId="6" fillId="6" borderId="19" xfId="97" applyFont="1" applyFill="1" applyBorder="1" applyAlignment="1">
      <alignment horizontal="center" vertical="center" wrapText="1"/>
      <protection/>
    </xf>
    <xf numFmtId="0" fontId="6" fillId="6" borderId="19" xfId="97" applyFont="1" applyFill="1" applyBorder="1" applyAlignment="1">
      <alignment horizontal="left" vertical="center" wrapText="1"/>
      <protection/>
    </xf>
    <xf numFmtId="0" fontId="5" fillId="6" borderId="19" xfId="97" applyFont="1" applyFill="1" applyBorder="1" applyAlignment="1">
      <alignment horizontal="center" vertical="center" wrapText="1"/>
      <protection/>
    </xf>
    <xf numFmtId="0" fontId="5" fillId="6" borderId="19" xfId="97" applyFont="1" applyFill="1" applyBorder="1" applyAlignment="1">
      <alignment horizontal="left" vertical="center" wrapText="1"/>
      <protection/>
    </xf>
    <xf numFmtId="0" fontId="6" fillId="6" borderId="19" xfId="0" applyFont="1" applyFill="1" applyBorder="1" applyAlignment="1">
      <alignment horizontal="justify" vertical="top" wrapText="1"/>
    </xf>
    <xf numFmtId="0" fontId="5" fillId="6" borderId="19" xfId="98" applyFont="1" applyFill="1" applyBorder="1" applyAlignment="1">
      <alignment horizontal="center" vertical="top" wrapText="1"/>
      <protection/>
    </xf>
    <xf numFmtId="0" fontId="5" fillId="6" borderId="19" xfId="98" applyFont="1" applyFill="1" applyBorder="1" applyAlignment="1">
      <alignment horizontal="left" vertical="top" wrapText="1"/>
      <protection/>
    </xf>
    <xf numFmtId="184" fontId="5" fillId="6" borderId="19" xfId="0" applyNumberFormat="1" applyFont="1" applyFill="1" applyBorder="1" applyAlignment="1">
      <alignment horizontal="center" vertical="center" wrapText="1"/>
    </xf>
    <xf numFmtId="0" fontId="11" fillId="55" borderId="0" xfId="0" applyFont="1" applyFill="1" applyAlignment="1">
      <alignment/>
    </xf>
    <xf numFmtId="184" fontId="7" fillId="55" borderId="23" xfId="0" applyNumberFormat="1" applyFont="1" applyFill="1" applyBorder="1" applyAlignment="1">
      <alignment horizontal="center" vertical="top" wrapText="1"/>
    </xf>
    <xf numFmtId="0" fontId="6" fillId="55" borderId="19" xfId="0" applyFont="1" applyFill="1" applyBorder="1" applyAlignment="1">
      <alignment horizontal="center" vertical="top" wrapText="1"/>
    </xf>
    <xf numFmtId="0" fontId="6" fillId="55" borderId="19" xfId="0" applyFont="1" applyFill="1" applyBorder="1" applyAlignment="1">
      <alignment vertical="top" wrapText="1"/>
    </xf>
    <xf numFmtId="0" fontId="6" fillId="55" borderId="19" xfId="0" applyFont="1" applyFill="1" applyBorder="1" applyAlignment="1">
      <alignment vertical="top" wrapText="1"/>
    </xf>
    <xf numFmtId="184" fontId="6" fillId="6" borderId="19" xfId="0" applyNumberFormat="1" applyFont="1" applyFill="1" applyBorder="1" applyAlignment="1">
      <alignment horizontal="center" vertical="top" wrapText="1"/>
    </xf>
    <xf numFmtId="184" fontId="7" fillId="55" borderId="19" xfId="0" applyNumberFormat="1" applyFont="1" applyFill="1" applyBorder="1" applyAlignment="1">
      <alignment horizontal="center" vertical="top" wrapText="1"/>
    </xf>
    <xf numFmtId="184" fontId="19" fillId="0" borderId="0" xfId="0" applyNumberFormat="1" applyFont="1" applyAlignment="1">
      <alignment/>
    </xf>
    <xf numFmtId="0" fontId="19" fillId="0" borderId="0" xfId="0" applyFont="1" applyAlignment="1">
      <alignment/>
    </xf>
    <xf numFmtId="0" fontId="6" fillId="55" borderId="19" xfId="0" applyFont="1" applyFill="1" applyBorder="1" applyAlignment="1">
      <alignment horizontal="justify" vertical="top" wrapText="1"/>
    </xf>
    <xf numFmtId="0" fontId="4" fillId="0" borderId="23" xfId="0" applyFont="1" applyFill="1" applyBorder="1" applyAlignment="1">
      <alignment horizontal="center" vertical="top" wrapText="1"/>
    </xf>
    <xf numFmtId="0" fontId="4" fillId="56" borderId="21" xfId="0" applyFont="1" applyFill="1" applyBorder="1" applyAlignment="1">
      <alignment horizontal="center" vertical="top" wrapText="1"/>
    </xf>
    <xf numFmtId="0" fontId="3" fillId="0" borderId="0" xfId="0" applyFont="1" applyAlignment="1">
      <alignment horizontal="center" vertical="top" wrapText="1"/>
    </xf>
    <xf numFmtId="0" fontId="4" fillId="0" borderId="19" xfId="0" applyFont="1" applyBorder="1" applyAlignment="1">
      <alignment horizontal="center" vertical="top" wrapText="1"/>
    </xf>
    <xf numFmtId="0" fontId="7" fillId="0" borderId="19" xfId="0" applyFont="1" applyBorder="1" applyAlignment="1">
      <alignment horizontal="center" vertical="top" wrapText="1"/>
    </xf>
    <xf numFmtId="0" fontId="4" fillId="55" borderId="19" xfId="0" applyFont="1" applyFill="1" applyBorder="1" applyAlignment="1">
      <alignment horizontal="center" vertical="top" wrapText="1"/>
    </xf>
    <xf numFmtId="0" fontId="4" fillId="6" borderId="26" xfId="0" applyFont="1" applyFill="1" applyBorder="1" applyAlignment="1">
      <alignment horizontal="center" vertical="top" wrapText="1"/>
    </xf>
    <xf numFmtId="0" fontId="6" fillId="55" borderId="19" xfId="0" applyFont="1" applyFill="1" applyBorder="1" applyAlignment="1">
      <alignment horizontal="left" vertical="top" wrapText="1"/>
    </xf>
    <xf numFmtId="184" fontId="21" fillId="57" borderId="19" xfId="0" applyNumberFormat="1" applyFont="1" applyFill="1" applyBorder="1" applyAlignment="1">
      <alignment vertical="center" wrapText="1"/>
    </xf>
    <xf numFmtId="0" fontId="22" fillId="57" borderId="19" xfId="0" applyFont="1" applyFill="1" applyBorder="1" applyAlignment="1">
      <alignment horizontal="center" vertical="center" wrapText="1"/>
    </xf>
    <xf numFmtId="0" fontId="23" fillId="57" borderId="19" xfId="0" applyFont="1" applyFill="1" applyBorder="1" applyAlignment="1">
      <alignment vertical="center" wrapText="1"/>
    </xf>
    <xf numFmtId="0" fontId="23" fillId="57" borderId="19" xfId="0" applyFont="1" applyFill="1" applyBorder="1" applyAlignment="1">
      <alignment horizontal="center" vertical="center" wrapText="1"/>
    </xf>
    <xf numFmtId="0" fontId="23" fillId="56" borderId="19" xfId="0" applyFont="1" applyFill="1" applyBorder="1" applyAlignment="1">
      <alignment horizontal="center" vertical="center" wrapText="1"/>
    </xf>
    <xf numFmtId="0" fontId="4" fillId="0" borderId="0" xfId="0" applyFont="1" applyFill="1" applyBorder="1" applyAlignment="1">
      <alignment horizontal="center" vertical="top" wrapText="1"/>
    </xf>
    <xf numFmtId="0" fontId="6" fillId="0" borderId="19" xfId="0" applyFont="1" applyFill="1" applyBorder="1" applyAlignment="1">
      <alignment horizontal="center" vertical="top" wrapText="1"/>
    </xf>
    <xf numFmtId="0" fontId="17" fillId="0" borderId="19" xfId="0" applyFont="1" applyFill="1" applyBorder="1" applyAlignment="1">
      <alignment horizontal="left" vertical="center" wrapText="1"/>
    </xf>
    <xf numFmtId="0" fontId="5" fillId="0" borderId="19" xfId="99" applyFont="1" applyBorder="1" applyAlignment="1">
      <alignment horizontal="justify" vertical="center" wrapText="1"/>
      <protection/>
    </xf>
    <xf numFmtId="0" fontId="5" fillId="0" borderId="19" xfId="99" applyFont="1" applyBorder="1" applyAlignment="1">
      <alignment horizontal="center" vertical="center" wrapText="1"/>
      <protection/>
    </xf>
    <xf numFmtId="0" fontId="5" fillId="0" borderId="19" xfId="99" applyFont="1" applyFill="1" applyBorder="1" applyAlignment="1">
      <alignment horizontal="justify" vertical="center" wrapText="1"/>
      <protection/>
    </xf>
    <xf numFmtId="0" fontId="5" fillId="0" borderId="19" xfId="99" applyFont="1" applyFill="1" applyBorder="1" applyAlignment="1">
      <alignment horizontal="center" vertical="center" wrapText="1"/>
      <protection/>
    </xf>
    <xf numFmtId="0" fontId="17" fillId="0" borderId="19"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5" fillId="57" borderId="19" xfId="99" applyFont="1" applyFill="1" applyBorder="1" applyAlignment="1">
      <alignment horizontal="center" vertical="center" wrapText="1"/>
      <protection/>
    </xf>
    <xf numFmtId="0" fontId="27" fillId="0" borderId="19" xfId="99" applyFont="1" applyBorder="1" applyAlignment="1">
      <alignment horizontal="justify" vertical="center" wrapText="1"/>
      <protection/>
    </xf>
    <xf numFmtId="0" fontId="27" fillId="57" borderId="19" xfId="99" applyFont="1" applyFill="1" applyBorder="1" applyAlignment="1">
      <alignment horizontal="center" vertical="center" wrapText="1"/>
      <protection/>
    </xf>
    <xf numFmtId="184" fontId="5" fillId="0" borderId="19" xfId="0" applyNumberFormat="1" applyFont="1" applyFill="1" applyBorder="1" applyAlignment="1">
      <alignment vertical="center" wrapText="1"/>
    </xf>
    <xf numFmtId="0" fontId="15" fillId="0" borderId="19" xfId="0" applyFont="1" applyFill="1" applyBorder="1" applyAlignment="1">
      <alignment horizontal="left" vertical="center" wrapText="1"/>
    </xf>
    <xf numFmtId="0" fontId="6" fillId="0" borderId="19" xfId="99" applyFont="1" applyFill="1" applyBorder="1" applyAlignment="1">
      <alignment horizontal="justify" vertical="center" wrapText="1"/>
      <protection/>
    </xf>
    <xf numFmtId="0" fontId="6" fillId="0" borderId="19" xfId="99" applyFont="1" applyFill="1" applyBorder="1" applyAlignment="1">
      <alignment horizontal="center" vertical="center" wrapText="1"/>
      <protection/>
    </xf>
    <xf numFmtId="184" fontId="17" fillId="0" borderId="19" xfId="0" applyNumberFormat="1" applyFont="1" applyFill="1" applyBorder="1" applyAlignment="1">
      <alignment horizontal="center" vertical="center" wrapText="1"/>
    </xf>
    <xf numFmtId="0" fontId="0" fillId="56" borderId="0" xfId="0" applyFill="1" applyAlignment="1">
      <alignment horizontal="center"/>
    </xf>
    <xf numFmtId="0" fontId="5" fillId="0" borderId="0" xfId="0" applyFont="1" applyFill="1" applyAlignment="1">
      <alignment horizontal="center"/>
    </xf>
    <xf numFmtId="0" fontId="0" fillId="0" borderId="0" xfId="0" applyFont="1" applyFill="1" applyAlignment="1">
      <alignment horizontal="center"/>
    </xf>
    <xf numFmtId="0" fontId="2" fillId="0" borderId="0" xfId="0" applyFont="1" applyFill="1" applyAlignment="1">
      <alignment horizontal="center"/>
    </xf>
    <xf numFmtId="0" fontId="0" fillId="0" borderId="0" xfId="0" applyAlignment="1">
      <alignment horizontal="center"/>
    </xf>
    <xf numFmtId="0" fontId="7" fillId="0" borderId="20" xfId="0" applyFont="1" applyBorder="1" applyAlignment="1">
      <alignment horizontal="center" vertical="top" wrapText="1"/>
    </xf>
    <xf numFmtId="9" fontId="17" fillId="0" borderId="19" xfId="109" applyFont="1" applyFill="1" applyBorder="1" applyAlignment="1">
      <alignment horizontal="center" vertical="center" wrapText="1"/>
    </xf>
    <xf numFmtId="188" fontId="17" fillId="0" borderId="19" xfId="109" applyNumberFormat="1" applyFont="1" applyFill="1" applyBorder="1" applyAlignment="1">
      <alignment horizontal="center" vertical="center" wrapText="1"/>
    </xf>
    <xf numFmtId="0" fontId="6" fillId="6" borderId="27" xfId="0" applyFont="1" applyFill="1" applyBorder="1" applyAlignment="1">
      <alignment vertical="top" wrapText="1"/>
    </xf>
    <xf numFmtId="0" fontId="4" fillId="6" borderId="28" xfId="0" applyFont="1" applyFill="1" applyBorder="1" applyAlignment="1">
      <alignment horizontal="center" vertical="top" wrapText="1"/>
    </xf>
    <xf numFmtId="0" fontId="17" fillId="0" borderId="28"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71" fillId="0" borderId="19" xfId="0" applyFont="1" applyBorder="1" applyAlignment="1">
      <alignment vertical="center" wrapText="1"/>
    </xf>
    <xf numFmtId="0" fontId="28" fillId="0" borderId="19" xfId="0" applyFont="1" applyBorder="1" applyAlignment="1">
      <alignment horizontal="center" vertical="center" wrapText="1"/>
    </xf>
    <xf numFmtId="0" fontId="72" fillId="0" borderId="19" xfId="0" applyFont="1" applyBorder="1" applyAlignment="1">
      <alignment vertical="center" wrapText="1"/>
    </xf>
    <xf numFmtId="0" fontId="72" fillId="0" borderId="19" xfId="0" applyFont="1" applyBorder="1" applyAlignment="1">
      <alignment horizontal="center" vertical="center" wrapText="1"/>
    </xf>
    <xf numFmtId="4" fontId="72" fillId="0" borderId="19" xfId="0" applyNumberFormat="1" applyFont="1" applyBorder="1" applyAlignment="1">
      <alignment horizontal="center" vertical="center" wrapText="1"/>
    </xf>
    <xf numFmtId="0" fontId="5" fillId="0" borderId="19" xfId="0" applyFont="1" applyBorder="1" applyAlignment="1">
      <alignment vertical="center" wrapText="1"/>
    </xf>
    <xf numFmtId="49" fontId="6" fillId="6" borderId="19" xfId="0" applyNumberFormat="1" applyFont="1" applyFill="1" applyBorder="1" applyAlignment="1">
      <alignment horizontal="center" vertical="top" wrapText="1"/>
    </xf>
    <xf numFmtId="49" fontId="6" fillId="0" borderId="27" xfId="0" applyNumberFormat="1" applyFont="1" applyFill="1" applyBorder="1" applyAlignment="1">
      <alignment horizontal="center" vertical="top" wrapText="1"/>
    </xf>
    <xf numFmtId="0" fontId="17" fillId="0" borderId="26" xfId="0" applyFont="1" applyFill="1" applyBorder="1" applyAlignment="1">
      <alignment horizontal="center" vertical="center" wrapText="1"/>
    </xf>
    <xf numFmtId="0" fontId="5" fillId="0" borderId="19" xfId="99" applyFont="1" applyBorder="1" applyAlignment="1">
      <alignment horizontal="left" vertical="center" wrapText="1"/>
      <protection/>
    </xf>
    <xf numFmtId="0" fontId="17" fillId="57" borderId="19" xfId="0" applyFont="1" applyFill="1" applyBorder="1" applyAlignment="1">
      <alignment horizontal="center" vertical="center" wrapText="1"/>
    </xf>
    <xf numFmtId="184" fontId="7" fillId="0" borderId="19" xfId="0" applyNumberFormat="1" applyFont="1" applyFill="1" applyBorder="1" applyAlignment="1">
      <alignment vertical="center" wrapText="1"/>
    </xf>
    <xf numFmtId="0" fontId="20" fillId="57" borderId="19" xfId="0" applyFont="1" applyFill="1" applyBorder="1" applyAlignment="1">
      <alignment horizontal="center" vertical="center" wrapText="1"/>
    </xf>
    <xf numFmtId="184" fontId="4" fillId="0" borderId="19" xfId="0" applyNumberFormat="1" applyFont="1" applyBorder="1" applyAlignment="1">
      <alignment horizontal="left" vertical="center" wrapText="1"/>
    </xf>
    <xf numFmtId="184" fontId="4" fillId="0" borderId="19" xfId="0" applyNumberFormat="1" applyFont="1" applyBorder="1" applyAlignment="1">
      <alignment horizontal="center" vertical="center" wrapText="1"/>
    </xf>
    <xf numFmtId="0" fontId="4" fillId="0" borderId="19" xfId="99" applyFont="1" applyBorder="1" applyAlignment="1">
      <alignment horizontal="left" vertical="center" wrapText="1"/>
      <protection/>
    </xf>
    <xf numFmtId="0" fontId="29" fillId="57" borderId="19" xfId="0" applyFont="1" applyFill="1" applyBorder="1" applyAlignment="1">
      <alignment horizontal="center" vertical="center" wrapText="1"/>
    </xf>
    <xf numFmtId="0" fontId="4" fillId="0" borderId="19" xfId="100" applyFont="1" applyBorder="1" applyAlignment="1">
      <alignment vertical="center" wrapText="1"/>
      <protection/>
    </xf>
    <xf numFmtId="0" fontId="4" fillId="0" borderId="19" xfId="100" applyFont="1" applyBorder="1" applyAlignment="1">
      <alignment horizontal="center" vertical="center" wrapText="1"/>
      <protection/>
    </xf>
    <xf numFmtId="184" fontId="4" fillId="0" borderId="19" xfId="0" applyNumberFormat="1" applyFont="1" applyFill="1" applyBorder="1" applyAlignment="1">
      <alignment vertical="center" wrapText="1"/>
    </xf>
    <xf numFmtId="184" fontId="0" fillId="0" borderId="0" xfId="0" applyNumberFormat="1" applyFill="1" applyAlignment="1">
      <alignment/>
    </xf>
    <xf numFmtId="184" fontId="17" fillId="0" borderId="26" xfId="0" applyNumberFormat="1" applyFont="1" applyFill="1" applyBorder="1" applyAlignment="1">
      <alignment horizontal="center" vertical="center" wrapText="1"/>
    </xf>
    <xf numFmtId="9" fontId="17" fillId="0" borderId="26" xfId="109" applyFont="1" applyFill="1" applyBorder="1" applyAlignment="1">
      <alignment horizontal="center" vertical="center" wrapText="1"/>
    </xf>
    <xf numFmtId="0" fontId="5" fillId="0" borderId="19" xfId="0" applyFont="1" applyBorder="1" applyAlignment="1">
      <alignment horizontal="left" vertical="center" wrapText="1"/>
    </xf>
    <xf numFmtId="0" fontId="27" fillId="0" borderId="19" xfId="0" applyFont="1" applyBorder="1" applyAlignment="1">
      <alignment horizontal="left" vertical="center" wrapText="1"/>
    </xf>
    <xf numFmtId="0" fontId="27" fillId="0" borderId="19" xfId="0" applyFont="1" applyBorder="1" applyAlignment="1">
      <alignment horizontal="center" vertical="center" wrapText="1"/>
    </xf>
    <xf numFmtId="0" fontId="15" fillId="0" borderId="19" xfId="0" applyFont="1" applyBorder="1" applyAlignment="1">
      <alignment horizontal="center"/>
    </xf>
    <xf numFmtId="0" fontId="5" fillId="0" borderId="19" xfId="101" applyFont="1" applyBorder="1" applyAlignment="1">
      <alignment horizontal="justify" vertical="center" wrapText="1"/>
      <protection/>
    </xf>
    <xf numFmtId="0" fontId="5" fillId="56" borderId="19" xfId="101" applyFont="1" applyFill="1" applyBorder="1" applyAlignment="1">
      <alignment horizontal="justify" vertical="center" wrapText="1"/>
      <protection/>
    </xf>
    <xf numFmtId="0" fontId="5" fillId="56" borderId="19" xfId="99" applyFont="1" applyFill="1" applyBorder="1" applyAlignment="1">
      <alignment horizontal="center" vertical="center" wrapText="1"/>
      <protection/>
    </xf>
    <xf numFmtId="0" fontId="5" fillId="0" borderId="19" xfId="99" applyFont="1" applyBorder="1" applyAlignment="1">
      <alignment horizontal="center" vertical="center"/>
      <protection/>
    </xf>
    <xf numFmtId="0" fontId="15" fillId="0" borderId="19" xfId="0" applyFont="1" applyBorder="1" applyAlignment="1">
      <alignment wrapText="1"/>
    </xf>
    <xf numFmtId="184" fontId="15" fillId="56" borderId="19" xfId="0" applyNumberFormat="1" applyFont="1" applyFill="1" applyBorder="1" applyAlignment="1">
      <alignment horizontal="center" vertical="center" wrapText="1"/>
    </xf>
    <xf numFmtId="184" fontId="15" fillId="0" borderId="19" xfId="0" applyNumberFormat="1" applyFont="1" applyBorder="1" applyAlignment="1">
      <alignment horizontal="center" vertical="center" wrapText="1"/>
    </xf>
    <xf numFmtId="184" fontId="4" fillId="56" borderId="19" xfId="0" applyNumberFormat="1" applyFont="1" applyFill="1" applyBorder="1" applyAlignment="1">
      <alignment horizontal="center" vertical="center" wrapText="1"/>
    </xf>
    <xf numFmtId="1" fontId="4" fillId="56" borderId="19" xfId="0" applyNumberFormat="1" applyFont="1" applyFill="1" applyBorder="1" applyAlignment="1">
      <alignment horizontal="center" vertical="top" wrapText="1"/>
    </xf>
    <xf numFmtId="0" fontId="7" fillId="56" borderId="23" xfId="0" applyFont="1" applyFill="1" applyBorder="1" applyAlignment="1">
      <alignment horizontal="center" vertical="top" wrapText="1"/>
    </xf>
    <xf numFmtId="0" fontId="7" fillId="56" borderId="19" xfId="0" applyFont="1" applyFill="1" applyBorder="1" applyAlignment="1">
      <alignment horizontal="center" vertical="top" wrapText="1"/>
    </xf>
    <xf numFmtId="0" fontId="11" fillId="56" borderId="0" xfId="0" applyFont="1" applyFill="1" applyAlignment="1">
      <alignment/>
    </xf>
    <xf numFmtId="0" fontId="4" fillId="56" borderId="0" xfId="0" applyFont="1" applyFill="1" applyAlignment="1">
      <alignment horizontal="center"/>
    </xf>
    <xf numFmtId="0" fontId="4" fillId="0" borderId="0" xfId="0" applyFont="1" applyAlignment="1">
      <alignment horizontal="center"/>
    </xf>
    <xf numFmtId="184" fontId="15" fillId="0" borderId="19" xfId="0" applyNumberFormat="1" applyFont="1" applyFill="1" applyBorder="1" applyAlignment="1">
      <alignment horizontal="center" vertical="center" wrapText="1"/>
    </xf>
    <xf numFmtId="188" fontId="4" fillId="56" borderId="19" xfId="109" applyNumberFormat="1" applyFont="1" applyFill="1" applyBorder="1" applyAlignment="1">
      <alignment horizontal="center" vertical="top" wrapText="1"/>
    </xf>
    <xf numFmtId="3" fontId="17" fillId="0" borderId="19" xfId="0" applyNumberFormat="1" applyFont="1" applyFill="1" applyBorder="1" applyAlignment="1">
      <alignment horizontal="center" vertical="center" wrapText="1"/>
    </xf>
    <xf numFmtId="9" fontId="4" fillId="56" borderId="19" xfId="109" applyFont="1" applyFill="1" applyBorder="1" applyAlignment="1">
      <alignment horizontal="center" vertical="top" wrapText="1"/>
    </xf>
    <xf numFmtId="188" fontId="15" fillId="0" borderId="19" xfId="109" applyNumberFormat="1" applyFont="1" applyFill="1" applyBorder="1" applyAlignment="1">
      <alignment horizontal="center" vertical="center" wrapText="1"/>
    </xf>
    <xf numFmtId="3" fontId="15" fillId="0" borderId="19" xfId="0" applyNumberFormat="1" applyFont="1" applyFill="1" applyBorder="1" applyAlignment="1">
      <alignment horizontal="center" vertical="center" wrapText="1"/>
    </xf>
    <xf numFmtId="0" fontId="5" fillId="56" borderId="19" xfId="0" applyFont="1" applyFill="1" applyBorder="1" applyAlignment="1">
      <alignment horizontal="center" vertical="top" wrapText="1"/>
    </xf>
    <xf numFmtId="184" fontId="5" fillId="56" borderId="19" xfId="0" applyNumberFormat="1" applyFont="1" applyFill="1" applyBorder="1" applyAlignment="1">
      <alignment horizontal="center" vertical="top" wrapText="1"/>
    </xf>
    <xf numFmtId="188" fontId="5" fillId="56" borderId="19" xfId="109" applyNumberFormat="1" applyFont="1" applyFill="1" applyBorder="1" applyAlignment="1">
      <alignment horizontal="center" vertical="top" wrapText="1"/>
    </xf>
    <xf numFmtId="184" fontId="11" fillId="0" borderId="0" xfId="0" applyNumberFormat="1" applyFont="1" applyAlignment="1">
      <alignment/>
    </xf>
    <xf numFmtId="184" fontId="5" fillId="0" borderId="27" xfId="100" applyNumberFormat="1" applyFont="1" applyBorder="1" applyAlignment="1">
      <alignment horizontal="center" vertical="center" wrapText="1"/>
      <protection/>
    </xf>
    <xf numFmtId="184" fontId="5" fillId="0" borderId="28" xfId="100" applyNumberFormat="1" applyFont="1" applyBorder="1" applyAlignment="1">
      <alignment horizontal="center" vertical="center" wrapText="1"/>
      <protection/>
    </xf>
    <xf numFmtId="184" fontId="5" fillId="0" borderId="26" xfId="100" applyNumberFormat="1" applyFont="1" applyBorder="1" applyAlignment="1">
      <alignment horizontal="center" vertical="center" wrapText="1"/>
      <protection/>
    </xf>
    <xf numFmtId="0" fontId="4" fillId="0" borderId="27" xfId="0" applyFont="1" applyBorder="1" applyAlignment="1">
      <alignment horizontal="center" vertical="top" wrapText="1"/>
    </xf>
    <xf numFmtId="0" fontId="4" fillId="0" borderId="28" xfId="0" applyFont="1" applyBorder="1" applyAlignment="1">
      <alignment horizontal="center" vertical="top" wrapText="1"/>
    </xf>
    <xf numFmtId="0" fontId="4" fillId="0" borderId="26" xfId="0" applyFont="1" applyBorder="1" applyAlignment="1">
      <alignment horizontal="center" vertical="top" wrapText="1"/>
    </xf>
    <xf numFmtId="0" fontId="4" fillId="0" borderId="23" xfId="0" applyFont="1" applyBorder="1" applyAlignment="1">
      <alignment horizontal="center" vertical="top" wrapText="1"/>
    </xf>
    <xf numFmtId="0" fontId="0" fillId="6" borderId="0" xfId="0" applyFill="1" applyAlignment="1">
      <alignment/>
    </xf>
    <xf numFmtId="0" fontId="0" fillId="55" borderId="0" xfId="0" applyFill="1" applyAlignment="1">
      <alignment/>
    </xf>
    <xf numFmtId="0" fontId="6" fillId="55" borderId="19" xfId="0" applyFont="1" applyFill="1" applyBorder="1" applyAlignment="1">
      <alignment vertical="top" wrapText="1"/>
    </xf>
    <xf numFmtId="0" fontId="6" fillId="56" borderId="19" xfId="0" applyFont="1" applyFill="1" applyBorder="1" applyAlignment="1">
      <alignment horizontal="center" vertical="top" wrapText="1"/>
    </xf>
    <xf numFmtId="0" fontId="4" fillId="55" borderId="23" xfId="0" applyFont="1" applyFill="1" applyBorder="1" applyAlignment="1">
      <alignment horizontal="center" vertical="top" wrapText="1"/>
    </xf>
    <xf numFmtId="0" fontId="6" fillId="55" borderId="19" xfId="0" applyFont="1" applyFill="1" applyBorder="1" applyAlignment="1">
      <alignment horizontal="center" vertical="top" wrapText="1"/>
    </xf>
    <xf numFmtId="0" fontId="4" fillId="55" borderId="19" xfId="0" applyFont="1" applyFill="1" applyBorder="1" applyAlignment="1">
      <alignment horizontal="center" vertical="top" wrapText="1"/>
    </xf>
    <xf numFmtId="0" fontId="4" fillId="56" borderId="23" xfId="0" applyFont="1" applyFill="1" applyBorder="1" applyAlignment="1">
      <alignment horizontal="center" vertical="top" wrapText="1"/>
    </xf>
    <xf numFmtId="0" fontId="4" fillId="56" borderId="19" xfId="0" applyFont="1" applyFill="1" applyBorder="1" applyAlignment="1">
      <alignment horizontal="center" vertical="top" wrapText="1"/>
    </xf>
    <xf numFmtId="0" fontId="0" fillId="56" borderId="0" xfId="0" applyFill="1" applyAlignment="1">
      <alignment/>
    </xf>
    <xf numFmtId="0" fontId="4" fillId="6" borderId="23" xfId="0" applyFont="1" applyFill="1" applyBorder="1" applyAlignment="1">
      <alignment horizontal="center" vertical="top" wrapText="1"/>
    </xf>
    <xf numFmtId="0" fontId="6" fillId="6" borderId="19" xfId="0" applyFont="1" applyFill="1" applyBorder="1" applyAlignment="1">
      <alignment horizontal="center" vertical="top" wrapText="1"/>
    </xf>
    <xf numFmtId="0" fontId="5" fillId="56" borderId="19" xfId="0" applyFont="1" applyFill="1" applyBorder="1" applyAlignment="1">
      <alignment horizontal="center" vertical="top" wrapText="1"/>
    </xf>
    <xf numFmtId="184" fontId="5" fillId="56" borderId="19" xfId="0" applyNumberFormat="1" applyFont="1" applyFill="1" applyBorder="1" applyAlignment="1">
      <alignment horizontal="center" vertical="top" wrapText="1"/>
    </xf>
    <xf numFmtId="0" fontId="6" fillId="55" borderId="19" xfId="0" applyFont="1" applyFill="1" applyBorder="1" applyAlignment="1">
      <alignment vertical="top" wrapText="1"/>
    </xf>
    <xf numFmtId="0" fontId="6" fillId="56" borderId="19" xfId="0" applyFont="1" applyFill="1" applyBorder="1" applyAlignment="1">
      <alignment horizontal="center" vertical="top" wrapText="1"/>
    </xf>
    <xf numFmtId="0" fontId="0" fillId="6" borderId="0" xfId="0" applyFill="1" applyAlignment="1">
      <alignment/>
    </xf>
    <xf numFmtId="0" fontId="6" fillId="55" borderId="19" xfId="0" applyFont="1" applyFill="1" applyBorder="1" applyAlignment="1">
      <alignment horizontal="center" vertical="top" wrapText="1"/>
    </xf>
    <xf numFmtId="0" fontId="4" fillId="55" borderId="19" xfId="0" applyFont="1" applyFill="1" applyBorder="1" applyAlignment="1">
      <alignment horizontal="center" vertical="top" wrapText="1"/>
    </xf>
    <xf numFmtId="0" fontId="4" fillId="56" borderId="23" xfId="0" applyFont="1" applyFill="1" applyBorder="1" applyAlignment="1">
      <alignment horizontal="center" vertical="top" wrapText="1"/>
    </xf>
    <xf numFmtId="0" fontId="4" fillId="56" borderId="19" xfId="0" applyFont="1" applyFill="1" applyBorder="1" applyAlignment="1">
      <alignment horizontal="center" vertical="top" wrapText="1"/>
    </xf>
    <xf numFmtId="0" fontId="0" fillId="56" borderId="0" xfId="0" applyFill="1" applyAlignment="1">
      <alignment/>
    </xf>
    <xf numFmtId="184" fontId="4" fillId="56" borderId="19" xfId="0" applyNumberFormat="1" applyFont="1" applyFill="1" applyBorder="1" applyAlignment="1">
      <alignment horizontal="center" vertical="top" wrapText="1"/>
    </xf>
    <xf numFmtId="0" fontId="6" fillId="6" borderId="19" xfId="0" applyFont="1" applyFill="1" applyBorder="1" applyAlignment="1">
      <alignment horizontal="center" vertical="top" wrapText="1"/>
    </xf>
    <xf numFmtId="184" fontId="6" fillId="0" borderId="19" xfId="0" applyNumberFormat="1" applyFont="1" applyBorder="1" applyAlignment="1">
      <alignment horizontal="left" vertical="center" wrapText="1"/>
    </xf>
    <xf numFmtId="0" fontId="6" fillId="55" borderId="19" xfId="0" applyFont="1" applyFill="1" applyBorder="1" applyAlignment="1">
      <alignment vertical="top" wrapText="1"/>
    </xf>
    <xf numFmtId="0" fontId="6" fillId="56" borderId="19" xfId="0" applyFont="1" applyFill="1" applyBorder="1" applyAlignment="1">
      <alignment horizontal="center" vertical="top" wrapText="1"/>
    </xf>
    <xf numFmtId="0" fontId="0" fillId="6" borderId="0" xfId="0" applyFill="1" applyAlignment="1">
      <alignment/>
    </xf>
    <xf numFmtId="0" fontId="0" fillId="55" borderId="0" xfId="0" applyFill="1" applyAlignment="1">
      <alignment/>
    </xf>
    <xf numFmtId="0" fontId="6" fillId="55" borderId="19" xfId="0" applyFont="1" applyFill="1" applyBorder="1" applyAlignment="1">
      <alignment horizontal="center" vertical="top" wrapText="1"/>
    </xf>
    <xf numFmtId="0" fontId="4" fillId="55" borderId="19" xfId="0" applyFont="1" applyFill="1" applyBorder="1" applyAlignment="1">
      <alignment horizontal="center" vertical="top" wrapText="1"/>
    </xf>
    <xf numFmtId="0" fontId="4" fillId="56" borderId="23" xfId="0" applyFont="1" applyFill="1" applyBorder="1" applyAlignment="1">
      <alignment horizontal="center" vertical="top" wrapText="1"/>
    </xf>
    <xf numFmtId="0" fontId="4" fillId="56" borderId="19" xfId="0" applyFont="1" applyFill="1" applyBorder="1" applyAlignment="1">
      <alignment horizontal="center" vertical="top" wrapText="1"/>
    </xf>
    <xf numFmtId="0" fontId="0" fillId="56" borderId="0" xfId="0" applyFill="1" applyAlignment="1">
      <alignment/>
    </xf>
    <xf numFmtId="0" fontId="5" fillId="56" borderId="19" xfId="0" applyFont="1" applyFill="1" applyBorder="1" applyAlignment="1">
      <alignment vertical="center" wrapText="1"/>
    </xf>
    <xf numFmtId="0" fontId="5" fillId="56" borderId="19" xfId="0" applyFont="1" applyFill="1" applyBorder="1" applyAlignment="1">
      <alignment horizontal="center" vertical="center" wrapText="1"/>
    </xf>
    <xf numFmtId="2" fontId="4" fillId="56" borderId="19" xfId="0" applyNumberFormat="1" applyFont="1" applyFill="1" applyBorder="1" applyAlignment="1">
      <alignment horizontal="center" vertical="top" wrapText="1"/>
    </xf>
    <xf numFmtId="184" fontId="4" fillId="56" borderId="19" xfId="0" applyNumberFormat="1" applyFont="1" applyFill="1" applyBorder="1" applyAlignment="1">
      <alignment horizontal="center" vertical="top" wrapText="1"/>
    </xf>
    <xf numFmtId="0" fontId="6" fillId="6" borderId="19" xfId="0" applyFont="1" applyFill="1" applyBorder="1" applyAlignment="1">
      <alignment horizontal="center" vertical="top" wrapText="1"/>
    </xf>
    <xf numFmtId="0" fontId="5" fillId="56" borderId="27" xfId="0" applyFont="1" applyFill="1" applyBorder="1" applyAlignment="1">
      <alignment horizontal="center" vertical="center" wrapText="1"/>
    </xf>
    <xf numFmtId="0" fontId="5" fillId="56" borderId="28" xfId="0" applyFont="1" applyFill="1" applyBorder="1" applyAlignment="1">
      <alignment horizontal="center" vertical="center" wrapText="1"/>
    </xf>
    <xf numFmtId="0" fontId="5" fillId="56" borderId="26" xfId="0" applyFont="1" applyFill="1" applyBorder="1" applyAlignment="1">
      <alignment horizontal="center" vertical="center" wrapText="1"/>
    </xf>
    <xf numFmtId="0" fontId="6" fillId="56" borderId="19" xfId="0" applyFont="1" applyFill="1" applyBorder="1" applyAlignment="1">
      <alignment vertical="center" wrapText="1"/>
    </xf>
    <xf numFmtId="0" fontId="4" fillId="56" borderId="20" xfId="0" applyFont="1" applyFill="1" applyBorder="1" applyAlignment="1">
      <alignment horizontal="center" vertical="top" wrapText="1"/>
    </xf>
    <xf numFmtId="184" fontId="4" fillId="56" borderId="20" xfId="0" applyNumberFormat="1" applyFont="1" applyFill="1" applyBorder="1" applyAlignment="1">
      <alignment horizontal="center" vertical="top" wrapText="1"/>
    </xf>
    <xf numFmtId="0" fontId="0" fillId="56" borderId="0" xfId="0" applyFill="1" applyBorder="1" applyAlignment="1">
      <alignment/>
    </xf>
    <xf numFmtId="0" fontId="6" fillId="56" borderId="19" xfId="0" applyFont="1" applyFill="1" applyBorder="1" applyAlignment="1">
      <alignment horizontal="center" vertical="top" wrapText="1"/>
    </xf>
    <xf numFmtId="0" fontId="6" fillId="55" borderId="19" xfId="0" applyFont="1" applyFill="1" applyBorder="1" applyAlignment="1">
      <alignment horizontal="center" vertical="top" wrapText="1"/>
    </xf>
    <xf numFmtId="0" fontId="4" fillId="56" borderId="23" xfId="0" applyFont="1" applyFill="1" applyBorder="1" applyAlignment="1">
      <alignment horizontal="center" vertical="top" wrapText="1"/>
    </xf>
    <xf numFmtId="0" fontId="4" fillId="56" borderId="19" xfId="0" applyFont="1" applyFill="1" applyBorder="1" applyAlignment="1">
      <alignment horizontal="center" vertical="top" wrapText="1"/>
    </xf>
    <xf numFmtId="0" fontId="0" fillId="56" borderId="0" xfId="0" applyFill="1" applyAlignment="1">
      <alignment/>
    </xf>
    <xf numFmtId="184" fontId="4" fillId="56" borderId="19" xfId="0" applyNumberFormat="1" applyFont="1" applyFill="1" applyBorder="1" applyAlignment="1">
      <alignment horizontal="center" vertical="top" wrapText="1"/>
    </xf>
    <xf numFmtId="0" fontId="6" fillId="6" borderId="19" xfId="0" applyFont="1" applyFill="1" applyBorder="1" applyAlignment="1">
      <alignment horizontal="center" vertical="top" wrapText="1"/>
    </xf>
    <xf numFmtId="1" fontId="4" fillId="56" borderId="19" xfId="0" applyNumberFormat="1" applyFont="1" applyFill="1" applyBorder="1" applyAlignment="1">
      <alignment horizontal="center" vertical="top" wrapText="1"/>
    </xf>
    <xf numFmtId="0" fontId="6" fillId="55" borderId="19" xfId="0" applyFont="1" applyFill="1" applyBorder="1" applyAlignment="1">
      <alignment vertical="top" wrapText="1"/>
    </xf>
    <xf numFmtId="0" fontId="6" fillId="56" borderId="19" xfId="0" applyFont="1" applyFill="1" applyBorder="1" applyAlignment="1">
      <alignment horizontal="center" vertical="top" wrapText="1"/>
    </xf>
    <xf numFmtId="0" fontId="6" fillId="55" borderId="19" xfId="0" applyFont="1" applyFill="1" applyBorder="1" applyAlignment="1">
      <alignment horizontal="center" vertical="top" wrapText="1"/>
    </xf>
    <xf numFmtId="0" fontId="4" fillId="55" borderId="19" xfId="0" applyFont="1" applyFill="1" applyBorder="1" applyAlignment="1">
      <alignment horizontal="center" vertical="top" wrapText="1"/>
    </xf>
    <xf numFmtId="0" fontId="4" fillId="56" borderId="19" xfId="0" applyFont="1" applyFill="1" applyBorder="1" applyAlignment="1">
      <alignment horizontal="center" vertical="top" wrapText="1"/>
    </xf>
    <xf numFmtId="0" fontId="5" fillId="56" borderId="19" xfId="0" applyFont="1" applyFill="1" applyBorder="1" applyAlignment="1">
      <alignment vertical="center" wrapText="1"/>
    </xf>
    <xf numFmtId="2" fontId="4" fillId="56" borderId="19" xfId="0" applyNumberFormat="1" applyFont="1" applyFill="1" applyBorder="1" applyAlignment="1">
      <alignment horizontal="center" vertical="top" wrapText="1"/>
    </xf>
    <xf numFmtId="184" fontId="4" fillId="56" borderId="19" xfId="0" applyNumberFormat="1" applyFont="1" applyFill="1" applyBorder="1" applyAlignment="1">
      <alignment horizontal="center" vertical="top" wrapText="1"/>
    </xf>
    <xf numFmtId="0" fontId="6" fillId="6" borderId="19" xfId="0" applyFont="1" applyFill="1" applyBorder="1" applyAlignment="1">
      <alignment horizontal="center" vertical="top" wrapText="1"/>
    </xf>
    <xf numFmtId="0" fontId="5" fillId="56" borderId="19" xfId="0" applyFont="1" applyFill="1" applyBorder="1" applyAlignment="1">
      <alignment horizontal="center" vertical="top" wrapText="1"/>
    </xf>
    <xf numFmtId="0" fontId="0" fillId="56" borderId="0" xfId="0" applyFont="1" applyFill="1" applyAlignment="1">
      <alignment/>
    </xf>
    <xf numFmtId="0" fontId="0" fillId="55" borderId="0" xfId="0" applyFont="1" applyFill="1" applyAlignment="1">
      <alignment/>
    </xf>
    <xf numFmtId="0" fontId="5" fillId="0" borderId="0" xfId="0" applyFont="1" applyAlignment="1">
      <alignment/>
    </xf>
    <xf numFmtId="0" fontId="5" fillId="0" borderId="19" xfId="0" applyFont="1" applyBorder="1" applyAlignment="1">
      <alignment horizontal="center"/>
    </xf>
    <xf numFmtId="0" fontId="5" fillId="0" borderId="19" xfId="0" applyFont="1" applyBorder="1" applyAlignment="1">
      <alignment/>
    </xf>
    <xf numFmtId="0" fontId="5" fillId="0" borderId="19" xfId="0" applyFont="1" applyBorder="1" applyAlignment="1">
      <alignment wrapText="1"/>
    </xf>
    <xf numFmtId="2" fontId="5" fillId="0" borderId="19" xfId="0" applyNumberFormat="1" applyFont="1" applyBorder="1" applyAlignment="1">
      <alignment/>
    </xf>
    <xf numFmtId="0" fontId="7" fillId="55" borderId="0" xfId="0" applyFont="1" applyFill="1" applyAlignment="1">
      <alignment/>
    </xf>
    <xf numFmtId="0" fontId="6" fillId="55" borderId="19" xfId="0" applyFont="1" applyFill="1" applyBorder="1" applyAlignment="1">
      <alignment horizontal="center"/>
    </xf>
    <xf numFmtId="2" fontId="6" fillId="55" borderId="19" xfId="0" applyNumberFormat="1" applyFont="1" applyFill="1" applyBorder="1" applyAlignment="1">
      <alignment/>
    </xf>
    <xf numFmtId="0" fontId="0" fillId="56" borderId="0" xfId="0" applyFill="1" applyAlignment="1">
      <alignment horizontal="center" vertical="center"/>
    </xf>
    <xf numFmtId="0" fontId="11" fillId="55" borderId="0" xfId="0" applyFont="1" applyFill="1" applyAlignment="1">
      <alignment horizontal="center" vertical="center"/>
    </xf>
    <xf numFmtId="184" fontId="6" fillId="0" borderId="24" xfId="0" applyNumberFormat="1" applyFont="1" applyFill="1" applyBorder="1" applyAlignment="1">
      <alignment horizontal="center" vertical="center" wrapText="1"/>
    </xf>
    <xf numFmtId="184" fontId="5" fillId="0" borderId="24" xfId="0" applyNumberFormat="1" applyFont="1" applyFill="1" applyBorder="1" applyAlignment="1">
      <alignment horizontal="center" vertical="center" wrapText="1"/>
    </xf>
    <xf numFmtId="0" fontId="11" fillId="0" borderId="0" xfId="0" applyFont="1" applyAlignment="1">
      <alignment horizontal="center" vertical="center"/>
    </xf>
    <xf numFmtId="0" fontId="0" fillId="6" borderId="0" xfId="0" applyFill="1" applyAlignment="1">
      <alignment horizontal="center" vertical="center"/>
    </xf>
    <xf numFmtId="0" fontId="11" fillId="6" borderId="0" xfId="0" applyFont="1" applyFill="1" applyAlignment="1">
      <alignment horizontal="center" vertical="center"/>
    </xf>
    <xf numFmtId="0" fontId="0" fillId="56" borderId="0" xfId="0" applyFont="1" applyFill="1" applyAlignment="1">
      <alignment horizontal="center" vertical="center"/>
    </xf>
    <xf numFmtId="0" fontId="0" fillId="55" borderId="0" xfId="0" applyFont="1" applyFill="1" applyAlignment="1">
      <alignment horizontal="center" vertical="center"/>
    </xf>
    <xf numFmtId="184" fontId="11" fillId="0" borderId="0" xfId="0" applyNumberFormat="1" applyFont="1" applyAlignment="1">
      <alignment horizontal="center" vertical="center"/>
    </xf>
    <xf numFmtId="184" fontId="0" fillId="0" borderId="0" xfId="0" applyNumberFormat="1" applyAlignment="1">
      <alignment horizontal="center" vertical="center"/>
    </xf>
    <xf numFmtId="0" fontId="0" fillId="55" borderId="0" xfId="0" applyFill="1" applyAlignment="1">
      <alignment horizontal="center" vertical="center"/>
    </xf>
    <xf numFmtId="184" fontId="6" fillId="6" borderId="24" xfId="0" applyNumberFormat="1" applyFont="1" applyFill="1" applyBorder="1" applyAlignment="1">
      <alignment horizontal="center" vertical="center" wrapText="1"/>
    </xf>
    <xf numFmtId="0" fontId="5" fillId="56" borderId="0" xfId="0" applyFont="1" applyFill="1" applyAlignment="1">
      <alignment horizontal="left"/>
    </xf>
    <xf numFmtId="184" fontId="5" fillId="0" borderId="20" xfId="0" applyNumberFormat="1" applyFont="1" applyFill="1" applyBorder="1" applyAlignment="1">
      <alignment horizontal="center" vertical="top" wrapText="1"/>
    </xf>
    <xf numFmtId="184" fontId="6" fillId="0" borderId="23" xfId="0" applyNumberFormat="1" applyFont="1" applyFill="1" applyBorder="1" applyAlignment="1">
      <alignment horizontal="center" vertical="top" wrapText="1"/>
    </xf>
    <xf numFmtId="2" fontId="0" fillId="56" borderId="0" xfId="0" applyNumberFormat="1" applyFill="1" applyAlignment="1">
      <alignment/>
    </xf>
    <xf numFmtId="2" fontId="5" fillId="0" borderId="0" xfId="0" applyNumberFormat="1" applyFont="1" applyFill="1" applyAlignment="1">
      <alignment/>
    </xf>
    <xf numFmtId="2" fontId="2" fillId="0" borderId="0" xfId="0" applyNumberFormat="1" applyFont="1" applyFill="1" applyAlignment="1">
      <alignment/>
    </xf>
    <xf numFmtId="2" fontId="4" fillId="56" borderId="21" xfId="0" applyNumberFormat="1" applyFont="1" applyFill="1" applyBorder="1" applyAlignment="1">
      <alignment horizontal="center" vertical="top" wrapText="1"/>
    </xf>
    <xf numFmtId="2" fontId="7" fillId="55" borderId="23" xfId="0" applyNumberFormat="1" applyFont="1" applyFill="1" applyBorder="1" applyAlignment="1">
      <alignment horizontal="center" vertical="top" wrapText="1"/>
    </xf>
    <xf numFmtId="2" fontId="6" fillId="0" borderId="19" xfId="0" applyNumberFormat="1" applyFont="1" applyFill="1" applyBorder="1" applyAlignment="1">
      <alignment horizontal="center" vertical="center" wrapText="1"/>
    </xf>
    <xf numFmtId="2" fontId="5" fillId="0" borderId="19" xfId="0" applyNumberFormat="1" applyFont="1" applyFill="1" applyBorder="1" applyAlignment="1">
      <alignment horizontal="center" vertical="center" wrapText="1"/>
    </xf>
    <xf numFmtId="2" fontId="6" fillId="0" borderId="19" xfId="0" applyNumberFormat="1" applyFont="1" applyBorder="1" applyAlignment="1">
      <alignment horizontal="center" vertical="top" wrapText="1"/>
    </xf>
    <xf numFmtId="2" fontId="5" fillId="0" borderId="19" xfId="0" applyNumberFormat="1" applyFont="1" applyBorder="1" applyAlignment="1">
      <alignment horizontal="center" vertical="top" wrapText="1"/>
    </xf>
    <xf numFmtId="2" fontId="6" fillId="0" borderId="20" xfId="0" applyNumberFormat="1" applyFont="1" applyBorder="1" applyAlignment="1">
      <alignment horizontal="center" vertical="top" wrapText="1"/>
    </xf>
    <xf numFmtId="2" fontId="5" fillId="0" borderId="20" xfId="0" applyNumberFormat="1" applyFont="1" applyBorder="1" applyAlignment="1">
      <alignment horizontal="center" vertical="top" wrapText="1"/>
    </xf>
    <xf numFmtId="2" fontId="7" fillId="55" borderId="19" xfId="0" applyNumberFormat="1" applyFont="1" applyFill="1" applyBorder="1" applyAlignment="1">
      <alignment horizontal="center" vertical="top" wrapText="1"/>
    </xf>
    <xf numFmtId="2" fontId="7" fillId="6" borderId="19" xfId="0" applyNumberFormat="1" applyFont="1" applyFill="1" applyBorder="1" applyAlignment="1">
      <alignment horizontal="center" vertical="top" wrapText="1"/>
    </xf>
    <xf numFmtId="2" fontId="7" fillId="6" borderId="23" xfId="0" applyNumberFormat="1" applyFont="1" applyFill="1" applyBorder="1" applyAlignment="1">
      <alignment horizontal="center" vertical="top" wrapText="1"/>
    </xf>
    <xf numFmtId="2" fontId="6" fillId="6" borderId="19" xfId="0" applyNumberFormat="1" applyFont="1" applyFill="1" applyBorder="1" applyAlignment="1">
      <alignment horizontal="center" vertical="center" wrapText="1"/>
    </xf>
    <xf numFmtId="2" fontId="5" fillId="6" borderId="19" xfId="0" applyNumberFormat="1" applyFont="1" applyFill="1" applyBorder="1" applyAlignment="1">
      <alignment horizontal="center" vertical="center" wrapText="1"/>
    </xf>
    <xf numFmtId="2" fontId="6" fillId="6" borderId="19" xfId="0" applyNumberFormat="1" applyFont="1" applyFill="1" applyBorder="1" applyAlignment="1">
      <alignment horizontal="center" vertical="top" wrapText="1"/>
    </xf>
    <xf numFmtId="2" fontId="6" fillId="6" borderId="20" xfId="0" applyNumberFormat="1" applyFont="1" applyFill="1" applyBorder="1" applyAlignment="1">
      <alignment horizontal="center" vertical="top" wrapText="1"/>
    </xf>
    <xf numFmtId="2" fontId="6" fillId="55" borderId="19" xfId="0" applyNumberFormat="1" applyFont="1" applyFill="1" applyBorder="1" applyAlignment="1">
      <alignment horizontal="center" vertical="top" wrapText="1"/>
    </xf>
    <xf numFmtId="2" fontId="5" fillId="6" borderId="19" xfId="0" applyNumberFormat="1" applyFont="1" applyFill="1" applyBorder="1" applyAlignment="1">
      <alignment horizontal="center" vertical="top" wrapText="1"/>
    </xf>
    <xf numFmtId="2" fontId="6" fillId="55" borderId="19" xfId="0" applyNumberFormat="1" applyFont="1" applyFill="1" applyBorder="1" applyAlignment="1">
      <alignment horizontal="center" vertical="center" wrapText="1"/>
    </xf>
    <xf numFmtId="2" fontId="5" fillId="0" borderId="19" xfId="0" applyNumberFormat="1" applyFont="1" applyBorder="1" applyAlignment="1">
      <alignment horizontal="center" vertical="center" wrapText="1"/>
    </xf>
    <xf numFmtId="2" fontId="5" fillId="0" borderId="0" xfId="0" applyNumberFormat="1" applyFont="1" applyAlignment="1">
      <alignment/>
    </xf>
    <xf numFmtId="2" fontId="0" fillId="0" borderId="0" xfId="0" applyNumberFormat="1" applyAlignment="1">
      <alignment/>
    </xf>
    <xf numFmtId="2" fontId="3" fillId="0" borderId="0" xfId="0" applyNumberFormat="1" applyFont="1" applyAlignment="1">
      <alignment vertical="top" wrapText="1"/>
    </xf>
    <xf numFmtId="184" fontId="73" fillId="7" borderId="29" xfId="0" applyNumberFormat="1" applyFont="1" applyFill="1" applyBorder="1" applyAlignment="1">
      <alignment horizontal="center" vertical="center" wrapText="1"/>
    </xf>
    <xf numFmtId="184" fontId="0" fillId="56" borderId="0" xfId="0" applyNumberFormat="1" applyFill="1" applyAlignment="1">
      <alignment/>
    </xf>
    <xf numFmtId="0" fontId="2" fillId="0" borderId="0" xfId="0" applyFont="1" applyBorder="1" applyAlignment="1">
      <alignment horizontal="center" vertical="top" wrapText="1"/>
    </xf>
    <xf numFmtId="0" fontId="2" fillId="0" borderId="0" xfId="0" applyFont="1" applyAlignment="1">
      <alignment horizontal="left" vertical="top"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0" xfId="0" applyFont="1" applyAlignment="1">
      <alignment horizontal="center" vertical="top" wrapText="1"/>
    </xf>
    <xf numFmtId="0" fontId="4" fillId="0" borderId="30" xfId="0" applyFont="1" applyFill="1" applyBorder="1" applyAlignment="1">
      <alignment horizontal="center" vertical="top" wrapText="1"/>
    </xf>
    <xf numFmtId="0" fontId="4" fillId="0" borderId="23" xfId="0" applyFont="1" applyFill="1" applyBorder="1" applyAlignment="1">
      <alignment horizontal="center" vertical="top" wrapText="1"/>
    </xf>
    <xf numFmtId="0" fontId="2" fillId="0" borderId="0" xfId="0" applyFont="1" applyFill="1" applyAlignment="1">
      <alignment horizontal="left" wrapText="1"/>
    </xf>
    <xf numFmtId="0" fontId="4" fillId="0" borderId="19" xfId="0" applyFont="1" applyFill="1" applyBorder="1" applyAlignment="1">
      <alignment horizontal="center" vertical="center" wrapText="1"/>
    </xf>
    <xf numFmtId="0" fontId="4" fillId="0" borderId="19" xfId="0" applyFont="1" applyBorder="1" applyAlignment="1">
      <alignment horizontal="left" vertical="top" wrapText="1"/>
    </xf>
    <xf numFmtId="0" fontId="4" fillId="0" borderId="31" xfId="0" applyFont="1" applyBorder="1" applyAlignment="1">
      <alignment horizontal="left" vertical="top" wrapText="1"/>
    </xf>
    <xf numFmtId="0" fontId="4" fillId="0" borderId="32" xfId="0" applyFont="1" applyBorder="1" applyAlignment="1">
      <alignment horizontal="left" vertical="top" wrapText="1"/>
    </xf>
    <xf numFmtId="0" fontId="4" fillId="0" borderId="24" xfId="0" applyFont="1" applyBorder="1" applyAlignment="1">
      <alignment horizontal="left" vertical="top" wrapText="1"/>
    </xf>
    <xf numFmtId="0" fontId="4" fillId="0" borderId="33" xfId="0" applyFont="1" applyBorder="1" applyAlignment="1">
      <alignment horizontal="left" vertical="top" wrapText="1"/>
    </xf>
    <xf numFmtId="0" fontId="4" fillId="0" borderId="34" xfId="0" applyFont="1" applyBorder="1" applyAlignment="1">
      <alignment horizontal="left" vertical="top" wrapText="1"/>
    </xf>
    <xf numFmtId="0" fontId="4" fillId="0" borderId="25" xfId="0" applyFont="1" applyBorder="1" applyAlignment="1">
      <alignment horizontal="left" vertical="top"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24"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25" xfId="0" applyFont="1" applyBorder="1" applyAlignment="1">
      <alignment horizontal="left" vertical="center" wrapText="1"/>
    </xf>
    <xf numFmtId="0" fontId="4" fillId="56" borderId="21" xfId="0" applyFont="1" applyFill="1" applyBorder="1" applyAlignment="1">
      <alignment horizontal="center" vertical="top" wrapText="1"/>
    </xf>
    <xf numFmtId="0" fontId="4" fillId="56" borderId="22" xfId="0" applyFont="1" applyFill="1" applyBorder="1" applyAlignment="1">
      <alignment horizontal="center" vertical="top" wrapText="1"/>
    </xf>
    <xf numFmtId="0" fontId="4" fillId="56" borderId="19" xfId="0" applyFont="1" applyFill="1" applyBorder="1" applyAlignment="1">
      <alignment horizontal="center" vertical="center" wrapText="1"/>
    </xf>
    <xf numFmtId="2" fontId="4" fillId="56" borderId="19" xfId="0" applyNumberFormat="1" applyFont="1" applyFill="1" applyBorder="1" applyAlignment="1">
      <alignment horizontal="center" vertical="center" wrapText="1"/>
    </xf>
    <xf numFmtId="0" fontId="4" fillId="0" borderId="31"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33" xfId="0" applyFont="1" applyFill="1" applyBorder="1" applyAlignment="1">
      <alignment horizontal="left" vertical="top" wrapText="1"/>
    </xf>
    <xf numFmtId="0" fontId="4" fillId="0" borderId="34"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27" xfId="0" applyFont="1" applyBorder="1" applyAlignment="1">
      <alignment horizontal="left" vertical="top" wrapText="1"/>
    </xf>
    <xf numFmtId="0" fontId="4" fillId="0" borderId="26" xfId="0" applyFont="1" applyBorder="1" applyAlignment="1">
      <alignment horizontal="left" vertical="top" wrapText="1"/>
    </xf>
    <xf numFmtId="0" fontId="4" fillId="0" borderId="19" xfId="0" applyFont="1" applyBorder="1" applyAlignment="1">
      <alignment horizontal="center" vertical="top" wrapText="1"/>
    </xf>
    <xf numFmtId="0" fontId="4" fillId="55" borderId="19" xfId="0" applyFont="1" applyFill="1" applyBorder="1" applyAlignment="1">
      <alignment horizontal="left" vertical="top" wrapText="1"/>
    </xf>
    <xf numFmtId="0" fontId="4" fillId="6" borderId="19" xfId="0" applyFont="1" applyFill="1" applyBorder="1" applyAlignment="1">
      <alignment horizontal="left" vertical="top" wrapText="1"/>
    </xf>
    <xf numFmtId="0" fontId="5" fillId="55" borderId="19" xfId="0" applyFont="1" applyFill="1" applyBorder="1" applyAlignment="1">
      <alignment horizontal="left" vertical="top" wrapText="1"/>
    </xf>
    <xf numFmtId="0" fontId="3" fillId="0" borderId="0" xfId="0" applyFont="1" applyAlignment="1">
      <alignment horizontal="center" vertical="top" wrapText="1"/>
    </xf>
    <xf numFmtId="0" fontId="13" fillId="56" borderId="35" xfId="0" applyFont="1" applyFill="1" applyBorder="1" applyAlignment="1">
      <alignment horizontal="center"/>
    </xf>
    <xf numFmtId="0" fontId="2" fillId="56" borderId="0" xfId="0" applyFont="1" applyFill="1" applyAlignment="1">
      <alignment horizontal="left"/>
    </xf>
    <xf numFmtId="0" fontId="5" fillId="56" borderId="0" xfId="0" applyFont="1" applyFill="1" applyAlignment="1">
      <alignment horizontal="left"/>
    </xf>
    <xf numFmtId="0" fontId="5" fillId="0" borderId="27" xfId="0" applyFont="1" applyBorder="1" applyAlignment="1">
      <alignment horizontal="left" wrapText="1"/>
    </xf>
    <xf numFmtId="0" fontId="5" fillId="0" borderId="26" xfId="0" applyFont="1" applyBorder="1" applyAlignment="1">
      <alignment horizontal="left" wrapText="1"/>
    </xf>
    <xf numFmtId="0" fontId="5" fillId="0" borderId="19" xfId="0" applyFont="1" applyBorder="1" applyAlignment="1">
      <alignment horizontal="center"/>
    </xf>
    <xf numFmtId="0" fontId="6" fillId="55" borderId="27" xfId="0" applyFont="1" applyFill="1" applyBorder="1" applyAlignment="1">
      <alignment horizontal="center"/>
    </xf>
    <xf numFmtId="0" fontId="6" fillId="55" borderId="26" xfId="0" applyFont="1" applyFill="1" applyBorder="1" applyAlignment="1">
      <alignment horizontal="center"/>
    </xf>
    <xf numFmtId="0" fontId="4" fillId="0" borderId="20" xfId="0" applyFont="1" applyBorder="1" applyAlignment="1">
      <alignment horizontal="center" vertical="top" wrapText="1"/>
    </xf>
    <xf numFmtId="0" fontId="4" fillId="0" borderId="19" xfId="0" applyFont="1" applyBorder="1" applyAlignment="1">
      <alignment horizontal="center" vertical="center" wrapText="1"/>
    </xf>
    <xf numFmtId="0" fontId="9" fillId="0" borderId="0" xfId="0" applyFont="1" applyAlignment="1">
      <alignment horizontal="left"/>
    </xf>
    <xf numFmtId="0" fontId="7" fillId="0" borderId="19" xfId="0" applyFont="1" applyBorder="1" applyAlignment="1">
      <alignment horizontal="center" vertical="top" wrapText="1"/>
    </xf>
    <xf numFmtId="0" fontId="2" fillId="0" borderId="0" xfId="0" applyFont="1" applyAlignment="1">
      <alignment horizontal="left" wrapText="1"/>
    </xf>
    <xf numFmtId="0" fontId="4" fillId="0" borderId="21" xfId="0" applyFont="1" applyBorder="1" applyAlignment="1">
      <alignment horizontal="center" vertical="top" wrapText="1"/>
    </xf>
    <xf numFmtId="0" fontId="9" fillId="0" borderId="36" xfId="0" applyFont="1" applyBorder="1" applyAlignment="1">
      <alignment horizontal="center"/>
    </xf>
    <xf numFmtId="0" fontId="4" fillId="0" borderId="20" xfId="0" applyFont="1" applyBorder="1" applyAlignment="1">
      <alignment horizontal="left" vertical="top" wrapText="1"/>
    </xf>
    <xf numFmtId="0" fontId="5" fillId="56" borderId="27" xfId="0" applyFont="1" applyFill="1" applyBorder="1" applyAlignment="1">
      <alignment horizontal="center" vertical="center" wrapText="1"/>
    </xf>
    <xf numFmtId="0" fontId="5" fillId="56" borderId="28" xfId="0" applyFont="1" applyFill="1" applyBorder="1" applyAlignment="1">
      <alignment horizontal="center" vertical="center" wrapText="1"/>
    </xf>
    <xf numFmtId="0" fontId="5" fillId="56" borderId="26" xfId="0" applyFont="1" applyFill="1" applyBorder="1" applyAlignment="1">
      <alignment horizontal="center" vertical="center" wrapText="1"/>
    </xf>
    <xf numFmtId="0" fontId="4" fillId="55" borderId="19" xfId="0" applyFont="1" applyFill="1" applyBorder="1" applyAlignment="1">
      <alignment horizontal="center" vertical="top" wrapText="1"/>
    </xf>
    <xf numFmtId="184" fontId="5" fillId="0" borderId="27" xfId="100" applyNumberFormat="1" applyFont="1" applyBorder="1" applyAlignment="1">
      <alignment horizontal="center" vertical="center" wrapText="1"/>
      <protection/>
    </xf>
    <xf numFmtId="184" fontId="5" fillId="0" borderId="28" xfId="100" applyNumberFormat="1" applyFont="1" applyBorder="1" applyAlignment="1">
      <alignment horizontal="center" vertical="center" wrapText="1"/>
      <protection/>
    </xf>
    <xf numFmtId="184" fontId="5" fillId="0" borderId="26" xfId="100" applyNumberFormat="1" applyFont="1" applyBorder="1" applyAlignment="1">
      <alignment horizontal="center" vertical="center" wrapText="1"/>
      <protection/>
    </xf>
    <xf numFmtId="0" fontId="17" fillId="6" borderId="27" xfId="0" applyFont="1" applyFill="1" applyBorder="1" applyAlignment="1">
      <alignment horizontal="left" vertical="center" wrapText="1"/>
    </xf>
    <xf numFmtId="0" fontId="17" fillId="6" borderId="28" xfId="0" applyFont="1" applyFill="1" applyBorder="1" applyAlignment="1">
      <alignment horizontal="left" vertical="center" wrapText="1"/>
    </xf>
    <xf numFmtId="0" fontId="17" fillId="6" borderId="26" xfId="0" applyFont="1" applyFill="1" applyBorder="1" applyAlignment="1">
      <alignment horizontal="left" vertical="center" wrapText="1"/>
    </xf>
    <xf numFmtId="0" fontId="22" fillId="57" borderId="27" xfId="0" applyFont="1" applyFill="1" applyBorder="1" applyAlignment="1">
      <alignment horizontal="center" vertical="center" wrapText="1"/>
    </xf>
    <xf numFmtId="0" fontId="22" fillId="57" borderId="28" xfId="0" applyFont="1" applyFill="1" applyBorder="1" applyAlignment="1">
      <alignment horizontal="center" vertical="center" wrapText="1"/>
    </xf>
    <xf numFmtId="0" fontId="22" fillId="57" borderId="26" xfId="0" applyFont="1" applyFill="1" applyBorder="1" applyAlignment="1">
      <alignment horizontal="center" vertical="center" wrapText="1"/>
    </xf>
    <xf numFmtId="0" fontId="23" fillId="56" borderId="27" xfId="0" applyFont="1" applyFill="1" applyBorder="1" applyAlignment="1">
      <alignment horizontal="center" vertical="center" wrapText="1"/>
    </xf>
    <xf numFmtId="0" fontId="23" fillId="56" borderId="28" xfId="0" applyFont="1" applyFill="1" applyBorder="1" applyAlignment="1">
      <alignment horizontal="center" vertical="center" wrapText="1"/>
    </xf>
    <xf numFmtId="0" fontId="23" fillId="56" borderId="26" xfId="0" applyFont="1" applyFill="1" applyBorder="1" applyAlignment="1">
      <alignment horizontal="center" vertical="center" wrapText="1"/>
    </xf>
    <xf numFmtId="0" fontId="4" fillId="6" borderId="27" xfId="0" applyFont="1" applyFill="1" applyBorder="1" applyAlignment="1">
      <alignment horizontal="center" vertical="top" wrapText="1"/>
    </xf>
    <xf numFmtId="0" fontId="4" fillId="6" borderId="26" xfId="0" applyFont="1" applyFill="1" applyBorder="1" applyAlignment="1">
      <alignment horizontal="center" vertical="top" wrapText="1"/>
    </xf>
    <xf numFmtId="0" fontId="5" fillId="0" borderId="19" xfId="0" applyFont="1" applyBorder="1" applyAlignment="1">
      <alignment horizontal="center" vertical="top" wrapText="1"/>
    </xf>
    <xf numFmtId="184" fontId="5" fillId="0" borderId="19" xfId="100" applyNumberFormat="1" applyFont="1" applyBorder="1" applyAlignment="1">
      <alignment horizontal="center" vertical="center" wrapText="1"/>
      <protection/>
    </xf>
    <xf numFmtId="0" fontId="5" fillId="0" borderId="27" xfId="0" applyFont="1" applyBorder="1" applyAlignment="1">
      <alignment horizontal="center" vertical="top" wrapText="1"/>
    </xf>
    <xf numFmtId="0" fontId="5" fillId="0" borderId="28" xfId="0" applyFont="1" applyBorder="1" applyAlignment="1">
      <alignment horizontal="center" vertical="top" wrapText="1"/>
    </xf>
    <xf numFmtId="0" fontId="5" fillId="0" borderId="26" xfId="0" applyFont="1" applyBorder="1" applyAlignment="1">
      <alignment horizontal="center" vertical="top" wrapText="1"/>
    </xf>
    <xf numFmtId="184" fontId="5" fillId="0" borderId="27" xfId="0" applyNumberFormat="1" applyFont="1" applyBorder="1" applyAlignment="1">
      <alignment horizontal="center" vertical="center" wrapText="1"/>
    </xf>
    <xf numFmtId="184" fontId="5" fillId="0" borderId="28" xfId="0" applyNumberFormat="1" applyFont="1" applyBorder="1" applyAlignment="1">
      <alignment horizontal="center" vertical="center" wrapText="1"/>
    </xf>
    <xf numFmtId="184" fontId="5" fillId="0" borderId="26" xfId="0" applyNumberFormat="1" applyFont="1" applyBorder="1" applyAlignment="1">
      <alignment horizontal="center" vertical="center" wrapText="1"/>
    </xf>
    <xf numFmtId="0" fontId="4" fillId="55" borderId="27" xfId="0" applyFont="1" applyFill="1" applyBorder="1" applyAlignment="1">
      <alignment horizontal="center" vertical="top" wrapText="1"/>
    </xf>
    <xf numFmtId="0" fontId="4" fillId="55" borderId="28" xfId="0" applyFont="1" applyFill="1" applyBorder="1" applyAlignment="1">
      <alignment horizontal="center" vertical="top" wrapText="1"/>
    </xf>
    <xf numFmtId="0" fontId="4" fillId="55" borderId="26" xfId="0" applyFont="1" applyFill="1" applyBorder="1" applyAlignment="1">
      <alignment horizontal="center" vertical="top" wrapText="1"/>
    </xf>
    <xf numFmtId="0" fontId="6" fillId="55" borderId="27" xfId="0" applyFont="1" applyFill="1" applyBorder="1" applyAlignment="1">
      <alignment horizontal="left" vertical="top" wrapText="1"/>
    </xf>
    <xf numFmtId="0" fontId="6" fillId="55" borderId="28" xfId="0" applyFont="1" applyFill="1" applyBorder="1" applyAlignment="1">
      <alignment horizontal="left" vertical="top" wrapText="1"/>
    </xf>
    <xf numFmtId="0" fontId="6" fillId="55" borderId="26" xfId="0" applyFont="1" applyFill="1" applyBorder="1" applyAlignment="1">
      <alignment horizontal="left" vertical="top" wrapText="1"/>
    </xf>
    <xf numFmtId="0" fontId="5" fillId="56" borderId="19" xfId="0" applyFont="1" applyFill="1" applyBorder="1" applyAlignment="1">
      <alignment horizontal="center" vertical="center" wrapText="1"/>
    </xf>
    <xf numFmtId="0" fontId="5" fillId="0" borderId="27" xfId="0" applyFont="1" applyBorder="1" applyAlignment="1">
      <alignment horizontal="center" vertical="top"/>
    </xf>
    <xf numFmtId="0" fontId="5" fillId="0" borderId="28" xfId="0" applyFont="1" applyBorder="1" applyAlignment="1">
      <alignment horizontal="center" vertical="top"/>
    </xf>
    <xf numFmtId="0" fontId="5" fillId="0" borderId="26" xfId="0" applyFont="1" applyBorder="1" applyAlignment="1">
      <alignment horizontal="center" vertical="top"/>
    </xf>
    <xf numFmtId="0" fontId="15" fillId="57" borderId="19" xfId="0" applyFont="1" applyFill="1" applyBorder="1" applyAlignment="1">
      <alignment horizontal="center" vertical="center" wrapText="1"/>
    </xf>
    <xf numFmtId="0" fontId="17" fillId="6" borderId="19" xfId="0" applyFont="1" applyFill="1" applyBorder="1" applyAlignment="1">
      <alignment horizontal="left" vertical="center" wrapText="1"/>
    </xf>
    <xf numFmtId="0" fontId="15" fillId="57" borderId="27" xfId="0" applyFont="1" applyFill="1" applyBorder="1" applyAlignment="1">
      <alignment horizontal="center" vertical="center" wrapText="1"/>
    </xf>
    <xf numFmtId="0" fontId="15" fillId="57" borderId="28" xfId="0" applyFont="1" applyFill="1" applyBorder="1" applyAlignment="1">
      <alignment horizontal="center" vertical="center" wrapText="1"/>
    </xf>
    <xf numFmtId="0" fontId="15" fillId="57" borderId="26" xfId="0" applyFont="1" applyFill="1" applyBorder="1" applyAlignment="1">
      <alignment horizontal="center" vertical="center" wrapText="1"/>
    </xf>
    <xf numFmtId="0" fontId="5" fillId="57" borderId="27" xfId="100" applyFont="1" applyFill="1" applyBorder="1" applyAlignment="1">
      <alignment horizontal="center" vertical="center" wrapText="1"/>
      <protection/>
    </xf>
    <xf numFmtId="0" fontId="5" fillId="57" borderId="28" xfId="100" applyFont="1" applyFill="1" applyBorder="1" applyAlignment="1">
      <alignment horizontal="center" vertical="center" wrapText="1"/>
      <protection/>
    </xf>
    <xf numFmtId="0" fontId="5" fillId="57" borderId="26" xfId="100" applyFont="1" applyFill="1" applyBorder="1" applyAlignment="1">
      <alignment horizontal="center" vertical="center" wrapText="1"/>
      <protection/>
    </xf>
    <xf numFmtId="0" fontId="6" fillId="0" borderId="27" xfId="99" applyFont="1" applyFill="1" applyBorder="1" applyAlignment="1">
      <alignment horizontal="center" vertical="center" wrapText="1"/>
      <protection/>
    </xf>
    <xf numFmtId="0" fontId="6" fillId="0" borderId="28" xfId="99" applyFont="1" applyFill="1" applyBorder="1" applyAlignment="1">
      <alignment horizontal="center" vertical="center" wrapText="1"/>
      <protection/>
    </xf>
    <xf numFmtId="0" fontId="6" fillId="0" borderId="26" xfId="99" applyFont="1" applyFill="1" applyBorder="1" applyAlignment="1">
      <alignment horizontal="center" vertical="center" wrapText="1"/>
      <protection/>
    </xf>
    <xf numFmtId="0" fontId="5" fillId="0" borderId="27" xfId="100" applyFont="1" applyFill="1" applyBorder="1" applyAlignment="1">
      <alignment horizontal="center" vertical="center" wrapText="1"/>
      <protection/>
    </xf>
    <xf numFmtId="0" fontId="5" fillId="0" borderId="28" xfId="100" applyFont="1" applyFill="1" applyBorder="1" applyAlignment="1">
      <alignment horizontal="center" vertical="center" wrapText="1"/>
      <protection/>
    </xf>
    <xf numFmtId="0" fontId="5" fillId="0" borderId="26" xfId="100" applyFont="1" applyFill="1" applyBorder="1" applyAlignment="1">
      <alignment horizontal="center" vertical="center" wrapText="1"/>
      <protection/>
    </xf>
    <xf numFmtId="0" fontId="5" fillId="57" borderId="27" xfId="99" applyFont="1" applyFill="1" applyBorder="1" applyAlignment="1">
      <alignment horizontal="center" vertical="center" wrapText="1"/>
      <protection/>
    </xf>
    <xf numFmtId="0" fontId="5" fillId="57" borderId="28" xfId="99" applyFont="1" applyFill="1" applyBorder="1" applyAlignment="1">
      <alignment horizontal="center" vertical="center" wrapText="1"/>
      <protection/>
    </xf>
    <xf numFmtId="0" fontId="5" fillId="57" borderId="26" xfId="99" applyFont="1" applyFill="1" applyBorder="1" applyAlignment="1">
      <alignment horizontal="center" vertical="center" wrapText="1"/>
      <protection/>
    </xf>
    <xf numFmtId="0" fontId="27" fillId="57" borderId="27" xfId="99" applyFont="1" applyFill="1" applyBorder="1" applyAlignment="1">
      <alignment horizontal="center" vertical="center" wrapText="1"/>
      <protection/>
    </xf>
    <xf numFmtId="0" fontId="27" fillId="57" borderId="28" xfId="99" applyFont="1" applyFill="1" applyBorder="1" applyAlignment="1">
      <alignment horizontal="center" vertical="center" wrapText="1"/>
      <protection/>
    </xf>
    <xf numFmtId="0" fontId="27" fillId="57" borderId="26" xfId="99" applyFont="1" applyFill="1" applyBorder="1" applyAlignment="1">
      <alignment horizontal="center" vertical="center" wrapText="1"/>
      <protection/>
    </xf>
    <xf numFmtId="0" fontId="6" fillId="6" borderId="27" xfId="0" applyFont="1" applyFill="1" applyBorder="1" applyAlignment="1">
      <alignment horizontal="left" vertical="top" wrapText="1"/>
    </xf>
    <xf numFmtId="0" fontId="6" fillId="6" borderId="28" xfId="0" applyFont="1" applyFill="1" applyBorder="1" applyAlignment="1">
      <alignment horizontal="left" vertical="top" wrapText="1"/>
    </xf>
    <xf numFmtId="0" fontId="6" fillId="6" borderId="26" xfId="0" applyFont="1" applyFill="1" applyBorder="1" applyAlignment="1">
      <alignment horizontal="left" vertical="top" wrapText="1"/>
    </xf>
    <xf numFmtId="0" fontId="5" fillId="0" borderId="27" xfId="100" applyFont="1" applyBorder="1" applyAlignment="1">
      <alignment horizontal="center" vertical="center" wrapText="1"/>
      <protection/>
    </xf>
    <xf numFmtId="0" fontId="5" fillId="0" borderId="28" xfId="100" applyFont="1" applyBorder="1" applyAlignment="1">
      <alignment horizontal="center" vertical="center" wrapText="1"/>
      <protection/>
    </xf>
    <xf numFmtId="0" fontId="5" fillId="0" borderId="26" xfId="100" applyFont="1" applyBorder="1" applyAlignment="1">
      <alignment horizontal="center" vertical="center" wrapText="1"/>
      <protection/>
    </xf>
    <xf numFmtId="0" fontId="5" fillId="0" borderId="27" xfId="99" applyFont="1" applyBorder="1" applyAlignment="1">
      <alignment horizontal="center" vertical="center" wrapText="1"/>
      <protection/>
    </xf>
    <xf numFmtId="0" fontId="5" fillId="0" borderId="28" xfId="99" applyFont="1" applyBorder="1" applyAlignment="1">
      <alignment horizontal="center" vertical="center" wrapText="1"/>
      <protection/>
    </xf>
    <xf numFmtId="0" fontId="5" fillId="0" borderId="26" xfId="99" applyFont="1" applyBorder="1" applyAlignment="1">
      <alignment horizontal="center" vertical="center" wrapText="1"/>
      <protection/>
    </xf>
    <xf numFmtId="0" fontId="15" fillId="0" borderId="27"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57" borderId="27" xfId="0" applyFont="1" applyFill="1" applyBorder="1" applyAlignment="1">
      <alignment horizontal="center"/>
    </xf>
    <xf numFmtId="0" fontId="15" fillId="57" borderId="28" xfId="0" applyFont="1" applyFill="1" applyBorder="1" applyAlignment="1">
      <alignment horizontal="center"/>
    </xf>
    <xf numFmtId="0" fontId="15" fillId="57" borderId="26" xfId="0" applyFont="1" applyFill="1" applyBorder="1" applyAlignment="1">
      <alignment horizontal="center"/>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6"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26" xfId="0" applyFont="1" applyBorder="1" applyAlignment="1">
      <alignment horizontal="center" vertical="center" wrapText="1"/>
    </xf>
    <xf numFmtId="0" fontId="15" fillId="0" borderId="19"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4" fillId="6" borderId="19" xfId="0" applyFont="1" applyFill="1" applyBorder="1" applyAlignment="1">
      <alignment horizontal="center" vertical="top" wrapText="1"/>
    </xf>
    <xf numFmtId="0" fontId="4" fillId="0" borderId="19" xfId="100" applyFont="1" applyBorder="1" applyAlignment="1">
      <alignment horizontal="center" vertical="center" wrapText="1"/>
      <protection/>
    </xf>
    <xf numFmtId="0" fontId="29" fillId="57" borderId="19" xfId="0" applyFont="1" applyFill="1" applyBorder="1" applyAlignment="1">
      <alignment horizontal="center" vertical="center" wrapText="1"/>
    </xf>
    <xf numFmtId="0" fontId="20" fillId="57" borderId="19" xfId="0" applyFont="1" applyFill="1" applyBorder="1" applyAlignment="1">
      <alignment horizontal="center" vertical="center" wrapText="1"/>
    </xf>
    <xf numFmtId="0" fontId="20" fillId="57" borderId="27" xfId="0" applyFont="1" applyFill="1" applyBorder="1" applyAlignment="1">
      <alignment horizontal="center" vertical="center" wrapText="1"/>
    </xf>
    <xf numFmtId="0" fontId="20" fillId="57" borderId="28" xfId="0" applyFont="1" applyFill="1" applyBorder="1" applyAlignment="1">
      <alignment horizontal="center" vertical="center" wrapText="1"/>
    </xf>
    <xf numFmtId="184" fontId="4" fillId="0" borderId="19" xfId="100" applyNumberFormat="1" applyFont="1" applyBorder="1" applyAlignment="1">
      <alignment horizontal="center" vertical="center" wrapText="1"/>
      <protection/>
    </xf>
    <xf numFmtId="0" fontId="17" fillId="57" borderId="27" xfId="0" applyFont="1" applyFill="1" applyBorder="1" applyAlignment="1">
      <alignment horizontal="center" vertical="center" wrapText="1"/>
    </xf>
    <xf numFmtId="0" fontId="17" fillId="57" borderId="28" xfId="0" applyFont="1" applyFill="1" applyBorder="1" applyAlignment="1">
      <alignment horizontal="center" vertical="center" wrapText="1"/>
    </xf>
    <xf numFmtId="0" fontId="17" fillId="57" borderId="26" xfId="0" applyFont="1" applyFill="1" applyBorder="1" applyAlignment="1">
      <alignment horizontal="center" vertical="center" wrapText="1"/>
    </xf>
    <xf numFmtId="0" fontId="4" fillId="0" borderId="27" xfId="0" applyFont="1" applyBorder="1" applyAlignment="1">
      <alignment horizontal="center" vertical="top" wrapText="1"/>
    </xf>
    <xf numFmtId="0" fontId="4" fillId="0" borderId="28" xfId="0" applyFont="1" applyBorder="1" applyAlignment="1">
      <alignment horizontal="center" vertical="top" wrapText="1"/>
    </xf>
    <xf numFmtId="0" fontId="4" fillId="0" borderId="26" xfId="0" applyFont="1" applyBorder="1" applyAlignment="1">
      <alignment horizontal="center" vertical="top" wrapText="1"/>
    </xf>
    <xf numFmtId="0" fontId="7" fillId="0" borderId="27" xfId="0" applyFont="1" applyBorder="1" applyAlignment="1">
      <alignment horizontal="center" vertical="top" wrapText="1"/>
    </xf>
    <xf numFmtId="0" fontId="7" fillId="0" borderId="28" xfId="0" applyFont="1" applyBorder="1" applyAlignment="1">
      <alignment horizontal="center" vertical="top" wrapText="1"/>
    </xf>
    <xf numFmtId="0" fontId="7" fillId="0" borderId="26" xfId="0" applyFont="1" applyBorder="1" applyAlignment="1">
      <alignment horizontal="center" vertical="top" wrapText="1"/>
    </xf>
    <xf numFmtId="0" fontId="5" fillId="56" borderId="27" xfId="100" applyFont="1" applyFill="1" applyBorder="1" applyAlignment="1">
      <alignment horizontal="center" vertical="center" wrapText="1"/>
      <protection/>
    </xf>
    <xf numFmtId="0" fontId="5" fillId="56" borderId="28" xfId="100" applyFont="1" applyFill="1" applyBorder="1" applyAlignment="1">
      <alignment horizontal="center" vertical="center" wrapText="1"/>
      <protection/>
    </xf>
    <xf numFmtId="0" fontId="5" fillId="56" borderId="26" xfId="100" applyFont="1" applyFill="1" applyBorder="1" applyAlignment="1">
      <alignment horizontal="center" vertical="center" wrapText="1"/>
      <protection/>
    </xf>
    <xf numFmtId="0" fontId="5" fillId="56" borderId="31" xfId="100" applyFont="1" applyFill="1" applyBorder="1" applyAlignment="1">
      <alignment horizontal="center" vertical="center" wrapText="1"/>
      <protection/>
    </xf>
    <xf numFmtId="0" fontId="5" fillId="56" borderId="37" xfId="100" applyFont="1" applyFill="1" applyBorder="1" applyAlignment="1">
      <alignment horizontal="center" vertical="center" wrapText="1"/>
      <protection/>
    </xf>
    <xf numFmtId="0" fontId="5" fillId="56" borderId="32" xfId="100" applyFont="1" applyFill="1" applyBorder="1" applyAlignment="1">
      <alignment horizontal="center" vertical="center" wrapText="1"/>
      <protection/>
    </xf>
    <xf numFmtId="0" fontId="5" fillId="56" borderId="34" xfId="100" applyFont="1" applyFill="1" applyBorder="1" applyAlignment="1">
      <alignment horizontal="center" vertical="center" wrapText="1"/>
      <protection/>
    </xf>
    <xf numFmtId="0" fontId="5" fillId="56" borderId="36" xfId="100" applyFont="1" applyFill="1" applyBorder="1" applyAlignment="1">
      <alignment horizontal="center" vertical="center" wrapText="1"/>
      <protection/>
    </xf>
    <xf numFmtId="0" fontId="5" fillId="56" borderId="25" xfId="100" applyFont="1" applyFill="1" applyBorder="1" applyAlignment="1">
      <alignment horizontal="center" vertical="center" wrapText="1"/>
      <protection/>
    </xf>
    <xf numFmtId="0" fontId="28" fillId="0" borderId="19" xfId="0" applyFont="1" applyBorder="1" applyAlignment="1">
      <alignment horizontal="center" vertical="center" wrapText="1"/>
    </xf>
    <xf numFmtId="0" fontId="72" fillId="0" borderId="19" xfId="0" applyFont="1" applyBorder="1" applyAlignment="1">
      <alignment horizontal="center" vertical="center" wrapText="1"/>
    </xf>
    <xf numFmtId="0" fontId="17" fillId="6" borderId="31" xfId="0" applyFont="1" applyFill="1" applyBorder="1" applyAlignment="1">
      <alignment horizontal="left" vertical="center" wrapText="1"/>
    </xf>
    <xf numFmtId="0" fontId="17" fillId="6" borderId="37" xfId="0" applyFont="1" applyFill="1" applyBorder="1" applyAlignment="1">
      <alignment horizontal="left" vertical="center" wrapText="1"/>
    </xf>
    <xf numFmtId="0" fontId="28" fillId="0" borderId="27" xfId="0" applyFont="1" applyBorder="1" applyAlignment="1">
      <alignment horizontal="center" vertical="center" wrapText="1"/>
    </xf>
    <xf numFmtId="0" fontId="28" fillId="0" borderId="28" xfId="0" applyFont="1" applyBorder="1" applyAlignment="1">
      <alignment horizontal="center" vertical="center" wrapText="1"/>
    </xf>
    <xf numFmtId="184" fontId="6" fillId="0" borderId="19" xfId="0" applyNumberFormat="1" applyFont="1" applyFill="1" applyBorder="1" applyAlignment="1">
      <alignment horizontal="center" vertical="top" wrapText="1"/>
    </xf>
  </cellXfs>
  <cellStyles count="11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Зв'язана клітинка" xfId="80"/>
    <cellStyle name="Итог" xfId="81"/>
    <cellStyle name="Контрольна клітинка" xfId="82"/>
    <cellStyle name="Контрольная ячейка" xfId="83"/>
    <cellStyle name="Назва" xfId="84"/>
    <cellStyle name="Название" xfId="85"/>
    <cellStyle name="Нейтральный" xfId="86"/>
    <cellStyle name="Обчислення" xfId="87"/>
    <cellStyle name="Обычный 2" xfId="88"/>
    <cellStyle name="Обычный 2 2" xfId="89"/>
    <cellStyle name="Обычный 2 3" xfId="90"/>
    <cellStyle name="Обычный 2 4" xfId="91"/>
    <cellStyle name="Обычный 3" xfId="92"/>
    <cellStyle name="Обычный 3 2" xfId="93"/>
    <cellStyle name="Обычный 4" xfId="94"/>
    <cellStyle name="Обычный 5" xfId="95"/>
    <cellStyle name="Обычный 6" xfId="96"/>
    <cellStyle name="Обычный_2009-2" xfId="97"/>
    <cellStyle name="Обычный_2009-2 2" xfId="98"/>
    <cellStyle name="Обычный_Formy 130105" xfId="99"/>
    <cellStyle name="Обычный_Formy 130204!" xfId="100"/>
    <cellStyle name="Обычный_додаток 3-3" xfId="101"/>
    <cellStyle name="Followed Hyperlink" xfId="102"/>
    <cellStyle name="Підсумок" xfId="103"/>
    <cellStyle name="Плохой" xfId="104"/>
    <cellStyle name="Поганий" xfId="105"/>
    <cellStyle name="Пояснение" xfId="106"/>
    <cellStyle name="Примечание" xfId="107"/>
    <cellStyle name="Примітка" xfId="108"/>
    <cellStyle name="Percent" xfId="109"/>
    <cellStyle name="Процентный 2" xfId="110"/>
    <cellStyle name="Процентный 2 2" xfId="111"/>
    <cellStyle name="Процентный 2 3"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Тысячи [0]_Розподіл (2)" xfId="120"/>
    <cellStyle name="Тысячи_бюджет 1998 по клас." xfId="121"/>
    <cellStyle name="Comma" xfId="122"/>
    <cellStyle name="Comma [0]" xfId="123"/>
    <cellStyle name="Финансовый 2" xfId="124"/>
    <cellStyle name="Хороший"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S54"/>
  <sheetViews>
    <sheetView view="pageBreakPreview" zoomScaleSheetLayoutView="100" zoomScalePageLayoutView="0" workbookViewId="0" topLeftCell="A1">
      <selection activeCell="D19" sqref="D19"/>
    </sheetView>
  </sheetViews>
  <sheetFormatPr defaultColWidth="9.00390625" defaultRowHeight="12.75"/>
  <cols>
    <col min="1" max="1" width="3.625" style="0" customWidth="1"/>
    <col min="2" max="2" width="8.625" style="0" customWidth="1"/>
    <col min="3" max="3" width="9.50390625" style="0" customWidth="1"/>
    <col min="4" max="4" width="64.875" style="0" customWidth="1"/>
    <col min="5" max="5" width="7.50390625" style="0" customWidth="1"/>
    <col min="6" max="6" width="6.625" style="0" customWidth="1"/>
    <col min="7" max="7" width="7.875" style="0" customWidth="1"/>
    <col min="8" max="8" width="7.50390625" style="0" customWidth="1"/>
    <col min="9" max="9" width="8.00390625" style="0" customWidth="1"/>
    <col min="10" max="11" width="7.50390625" style="0" customWidth="1"/>
    <col min="12" max="13" width="8.50390625" style="0" customWidth="1"/>
    <col min="14" max="19" width="6.625" style="0" customWidth="1"/>
  </cols>
  <sheetData>
    <row r="1" spans="1:19" ht="15">
      <c r="A1" s="400" t="s">
        <v>179</v>
      </c>
      <c r="B1" s="400"/>
      <c r="C1" s="400"/>
      <c r="D1" s="400"/>
      <c r="E1" s="400"/>
      <c r="F1" s="400"/>
      <c r="G1" s="400"/>
      <c r="H1" s="400"/>
      <c r="I1" s="400"/>
      <c r="J1" s="400"/>
      <c r="K1" s="400"/>
      <c r="L1" s="400"/>
      <c r="M1" s="400"/>
      <c r="N1" s="400"/>
      <c r="O1" s="400"/>
      <c r="P1" s="400"/>
      <c r="Q1" s="400"/>
      <c r="R1" s="400"/>
      <c r="S1" s="400"/>
    </row>
    <row r="2" spans="1:19" ht="12.75">
      <c r="A2" s="78"/>
      <c r="B2" s="78"/>
      <c r="C2" s="78"/>
      <c r="D2" s="78"/>
      <c r="E2" s="78"/>
      <c r="F2" s="78"/>
      <c r="G2" s="78"/>
      <c r="H2" s="78"/>
      <c r="I2" s="78"/>
      <c r="J2" s="78"/>
      <c r="K2" s="78"/>
      <c r="L2" s="78"/>
      <c r="M2" s="78"/>
      <c r="N2" s="78"/>
      <c r="O2" s="78"/>
      <c r="P2" s="78"/>
      <c r="Q2" s="78"/>
      <c r="R2" s="87" t="s">
        <v>4</v>
      </c>
      <c r="S2" s="87"/>
    </row>
    <row r="3" spans="1:19" ht="26.25" customHeight="1">
      <c r="A3" s="401" t="s">
        <v>20</v>
      </c>
      <c r="B3" s="401" t="s">
        <v>180</v>
      </c>
      <c r="C3" s="401" t="s">
        <v>21</v>
      </c>
      <c r="D3" s="401" t="s">
        <v>22</v>
      </c>
      <c r="E3" s="394" t="s">
        <v>175</v>
      </c>
      <c r="F3" s="395"/>
      <c r="G3" s="396"/>
      <c r="H3" s="394" t="s">
        <v>176</v>
      </c>
      <c r="I3" s="395"/>
      <c r="J3" s="396"/>
      <c r="K3" s="394" t="s">
        <v>177</v>
      </c>
      <c r="L3" s="395"/>
      <c r="M3" s="396"/>
      <c r="N3" s="394" t="s">
        <v>7</v>
      </c>
      <c r="O3" s="395"/>
      <c r="P3" s="396"/>
      <c r="Q3" s="394" t="s">
        <v>178</v>
      </c>
      <c r="R3" s="395"/>
      <c r="S3" s="396"/>
    </row>
    <row r="4" spans="1:19" ht="27" customHeight="1">
      <c r="A4" s="401"/>
      <c r="B4" s="401"/>
      <c r="C4" s="401"/>
      <c r="D4" s="401"/>
      <c r="E4" s="88" t="s">
        <v>13</v>
      </c>
      <c r="F4" s="88" t="s">
        <v>12</v>
      </c>
      <c r="G4" s="88" t="s">
        <v>181</v>
      </c>
      <c r="H4" s="88" t="s">
        <v>13</v>
      </c>
      <c r="I4" s="88" t="s">
        <v>12</v>
      </c>
      <c r="J4" s="88" t="s">
        <v>181</v>
      </c>
      <c r="K4" s="88" t="s">
        <v>13</v>
      </c>
      <c r="L4" s="88" t="s">
        <v>12</v>
      </c>
      <c r="M4" s="88" t="s">
        <v>181</v>
      </c>
      <c r="N4" s="88" t="s">
        <v>13</v>
      </c>
      <c r="O4" s="88" t="s">
        <v>12</v>
      </c>
      <c r="P4" s="88" t="s">
        <v>181</v>
      </c>
      <c r="Q4" s="88" t="s">
        <v>13</v>
      </c>
      <c r="R4" s="88" t="s">
        <v>12</v>
      </c>
      <c r="S4" s="88" t="s">
        <v>181</v>
      </c>
    </row>
    <row r="5" spans="1:19" ht="12" customHeight="1" thickBot="1">
      <c r="A5" s="89">
        <v>1</v>
      </c>
      <c r="B5" s="89">
        <v>2</v>
      </c>
      <c r="C5" s="89">
        <v>3</v>
      </c>
      <c r="D5" s="89">
        <v>4</v>
      </c>
      <c r="E5" s="89">
        <v>5</v>
      </c>
      <c r="F5" s="89">
        <v>6</v>
      </c>
      <c r="G5" s="89">
        <v>7</v>
      </c>
      <c r="H5" s="89">
        <v>8</v>
      </c>
      <c r="I5" s="89">
        <v>9</v>
      </c>
      <c r="J5" s="89">
        <v>10</v>
      </c>
      <c r="K5" s="89">
        <v>11</v>
      </c>
      <c r="L5" s="89">
        <v>12</v>
      </c>
      <c r="M5" s="89">
        <v>13</v>
      </c>
      <c r="N5" s="89">
        <v>14</v>
      </c>
      <c r="O5" s="89">
        <v>15</v>
      </c>
      <c r="P5" s="89">
        <v>16</v>
      </c>
      <c r="Q5" s="89">
        <v>17</v>
      </c>
      <c r="R5" s="89">
        <v>18</v>
      </c>
      <c r="S5" s="89">
        <v>19</v>
      </c>
    </row>
    <row r="6" spans="1:19" ht="24" customHeight="1" thickTop="1">
      <c r="A6" s="97">
        <v>1</v>
      </c>
      <c r="B6" s="398" t="s">
        <v>182</v>
      </c>
      <c r="C6" s="398" t="s">
        <v>183</v>
      </c>
      <c r="D6" s="98" t="s">
        <v>117</v>
      </c>
      <c r="E6" s="90"/>
      <c r="F6" s="90">
        <v>11975</v>
      </c>
      <c r="G6" s="96">
        <f>F6+E6</f>
        <v>11975</v>
      </c>
      <c r="H6" s="90"/>
      <c r="I6" s="90"/>
      <c r="J6" s="96">
        <f>I6+H6</f>
        <v>0</v>
      </c>
      <c r="K6" s="90"/>
      <c r="L6" s="106"/>
      <c r="M6" s="106">
        <f>L6+K6</f>
        <v>0</v>
      </c>
      <c r="N6" s="91"/>
      <c r="O6" s="91"/>
      <c r="P6" s="96">
        <f>O6+N6</f>
        <v>0</v>
      </c>
      <c r="Q6" s="91"/>
      <c r="R6" s="91"/>
      <c r="S6" s="96">
        <f>R6+Q6</f>
        <v>0</v>
      </c>
    </row>
    <row r="7" spans="1:19" ht="24">
      <c r="A7" s="97">
        <v>2</v>
      </c>
      <c r="B7" s="399"/>
      <c r="C7" s="399"/>
      <c r="D7" s="98" t="s">
        <v>118</v>
      </c>
      <c r="E7" s="90"/>
      <c r="F7" s="90">
        <v>78535.2</v>
      </c>
      <c r="G7" s="96">
        <f>F7+E7</f>
        <v>78535.2</v>
      </c>
      <c r="H7" s="90"/>
      <c r="I7" s="90">
        <v>1660.4</v>
      </c>
      <c r="J7" s="96">
        <f>I7+H7</f>
        <v>1660.4</v>
      </c>
      <c r="K7" s="90"/>
      <c r="L7" s="106"/>
      <c r="M7" s="106">
        <f>L7+K7</f>
        <v>0</v>
      </c>
      <c r="N7" s="91"/>
      <c r="O7" s="91"/>
      <c r="P7" s="96">
        <f>O7+N7</f>
        <v>0</v>
      </c>
      <c r="Q7" s="91"/>
      <c r="R7" s="91"/>
      <c r="S7" s="96">
        <f>R7+Q7</f>
        <v>0</v>
      </c>
    </row>
    <row r="8" spans="1:19" ht="24">
      <c r="A8" s="97">
        <v>3</v>
      </c>
      <c r="B8" s="399"/>
      <c r="C8" s="399"/>
      <c r="D8" s="98" t="s">
        <v>119</v>
      </c>
      <c r="E8" s="90"/>
      <c r="F8" s="90">
        <v>169.56</v>
      </c>
      <c r="G8" s="96">
        <f>F8+E8</f>
        <v>169.56</v>
      </c>
      <c r="H8" s="90"/>
      <c r="I8" s="90">
        <v>3000</v>
      </c>
      <c r="J8" s="96">
        <f>I8+H8</f>
        <v>3000</v>
      </c>
      <c r="K8" s="90"/>
      <c r="L8" s="106">
        <v>9220.386</v>
      </c>
      <c r="M8" s="106">
        <f>L8+K8</f>
        <v>9220.386</v>
      </c>
      <c r="N8" s="91"/>
      <c r="O8" s="91"/>
      <c r="P8" s="96">
        <f>O8+N8</f>
        <v>0</v>
      </c>
      <c r="Q8" s="91"/>
      <c r="R8" s="91"/>
      <c r="S8" s="96">
        <f>R8+Q8</f>
        <v>0</v>
      </c>
    </row>
    <row r="9" spans="1:19" ht="36">
      <c r="A9" s="97">
        <v>4</v>
      </c>
      <c r="B9" s="399"/>
      <c r="C9" s="399"/>
      <c r="D9" s="98" t="s">
        <v>158</v>
      </c>
      <c r="E9" s="90"/>
      <c r="F9" s="90">
        <v>221.34</v>
      </c>
      <c r="G9" s="96">
        <f aca="true" t="shared" si="0" ref="G9:G21">F9+E9</f>
        <v>221.34</v>
      </c>
      <c r="H9" s="90"/>
      <c r="I9" s="90">
        <f>2235.462+64.1</f>
        <v>2299.562</v>
      </c>
      <c r="J9" s="96">
        <f aca="true" t="shared" si="1" ref="J9:J21">I9+H9</f>
        <v>2299.562</v>
      </c>
      <c r="K9" s="90"/>
      <c r="L9" s="106">
        <v>7547.212</v>
      </c>
      <c r="M9" s="106">
        <f aca="true" t="shared" si="2" ref="M9:M21">L9+K9</f>
        <v>7547.212</v>
      </c>
      <c r="N9" s="91"/>
      <c r="O9" s="91"/>
      <c r="P9" s="96">
        <f aca="true" t="shared" si="3" ref="P9:P21">O9+N9</f>
        <v>0</v>
      </c>
      <c r="Q9" s="91"/>
      <c r="R9" s="91"/>
      <c r="S9" s="96">
        <f aca="true" t="shared" si="4" ref="S9:S21">R9+Q9</f>
        <v>0</v>
      </c>
    </row>
    <row r="10" spans="1:19" ht="24">
      <c r="A10" s="97">
        <v>5</v>
      </c>
      <c r="B10" s="399"/>
      <c r="C10" s="399"/>
      <c r="D10" s="98" t="s">
        <v>120</v>
      </c>
      <c r="E10" s="90"/>
      <c r="F10" s="90">
        <v>94.12</v>
      </c>
      <c r="G10" s="96">
        <f t="shared" si="0"/>
        <v>94.12</v>
      </c>
      <c r="H10" s="90"/>
      <c r="I10" s="102">
        <v>3586.152</v>
      </c>
      <c r="J10" s="96">
        <f t="shared" si="1"/>
        <v>3586.152</v>
      </c>
      <c r="K10" s="90"/>
      <c r="L10" s="106"/>
      <c r="M10" s="106">
        <f t="shared" si="2"/>
        <v>0</v>
      </c>
      <c r="N10" s="91"/>
      <c r="O10" s="91"/>
      <c r="P10" s="96">
        <f t="shared" si="3"/>
        <v>0</v>
      </c>
      <c r="Q10" s="91"/>
      <c r="R10" s="91"/>
      <c r="S10" s="96">
        <f t="shared" si="4"/>
        <v>0</v>
      </c>
    </row>
    <row r="11" spans="1:19" ht="24">
      <c r="A11" s="97">
        <v>6</v>
      </c>
      <c r="B11" s="399"/>
      <c r="C11" s="399"/>
      <c r="D11" s="98" t="s">
        <v>121</v>
      </c>
      <c r="E11" s="90"/>
      <c r="F11" s="90"/>
      <c r="G11" s="96">
        <f t="shared" si="0"/>
        <v>0</v>
      </c>
      <c r="H11" s="90"/>
      <c r="I11" s="102">
        <v>8784.166</v>
      </c>
      <c r="J11" s="96">
        <f t="shared" si="1"/>
        <v>8784.166</v>
      </c>
      <c r="K11" s="90"/>
      <c r="L11" s="106">
        <v>24400.46</v>
      </c>
      <c r="M11" s="106">
        <f t="shared" si="2"/>
        <v>24400.46</v>
      </c>
      <c r="N11" s="91"/>
      <c r="O11" s="91"/>
      <c r="P11" s="96">
        <f t="shared" si="3"/>
        <v>0</v>
      </c>
      <c r="Q11" s="91"/>
      <c r="R11" s="91"/>
      <c r="S11" s="96">
        <f t="shared" si="4"/>
        <v>0</v>
      </c>
    </row>
    <row r="12" spans="1:19" ht="24">
      <c r="A12" s="97">
        <v>7</v>
      </c>
      <c r="B12" s="399"/>
      <c r="C12" s="399"/>
      <c r="D12" s="98" t="s">
        <v>185</v>
      </c>
      <c r="E12" s="90"/>
      <c r="F12" s="90"/>
      <c r="G12" s="96">
        <f t="shared" si="0"/>
        <v>0</v>
      </c>
      <c r="H12" s="90">
        <v>221.1</v>
      </c>
      <c r="I12" s="90"/>
      <c r="J12" s="96">
        <f t="shared" si="1"/>
        <v>221.1</v>
      </c>
      <c r="K12" s="90"/>
      <c r="L12" s="106"/>
      <c r="M12" s="106">
        <f t="shared" si="2"/>
        <v>0</v>
      </c>
      <c r="N12" s="91"/>
      <c r="O12" s="91"/>
      <c r="P12" s="96">
        <f t="shared" si="3"/>
        <v>0</v>
      </c>
      <c r="Q12" s="91"/>
      <c r="R12" s="91"/>
      <c r="S12" s="96">
        <f t="shared" si="4"/>
        <v>0</v>
      </c>
    </row>
    <row r="13" spans="1:19" ht="24">
      <c r="A13" s="97">
        <v>8</v>
      </c>
      <c r="B13" s="399"/>
      <c r="C13" s="399"/>
      <c r="D13" s="98" t="s">
        <v>219</v>
      </c>
      <c r="E13" s="90"/>
      <c r="F13" s="90"/>
      <c r="G13" s="96">
        <f>F13+E13</f>
        <v>0</v>
      </c>
      <c r="H13" s="90"/>
      <c r="I13" s="90"/>
      <c r="J13" s="96">
        <f>I13+H13</f>
        <v>0</v>
      </c>
      <c r="K13" s="90"/>
      <c r="L13" s="106">
        <v>10000</v>
      </c>
      <c r="M13" s="106">
        <f>L13+K13</f>
        <v>10000</v>
      </c>
      <c r="N13" s="91"/>
      <c r="O13" s="91"/>
      <c r="P13" s="96">
        <f>O13+N13</f>
        <v>0</v>
      </c>
      <c r="Q13" s="91"/>
      <c r="R13" s="91"/>
      <c r="S13" s="96">
        <f>R13+Q13</f>
        <v>0</v>
      </c>
    </row>
    <row r="14" spans="1:19" ht="36">
      <c r="A14" s="97">
        <v>9</v>
      </c>
      <c r="B14" s="399"/>
      <c r="C14" s="399"/>
      <c r="D14" s="93" t="s">
        <v>186</v>
      </c>
      <c r="E14" s="90"/>
      <c r="F14" s="90"/>
      <c r="G14" s="96">
        <f t="shared" si="0"/>
        <v>0</v>
      </c>
      <c r="H14" s="90"/>
      <c r="I14" s="90">
        <v>400</v>
      </c>
      <c r="J14" s="96">
        <f t="shared" si="1"/>
        <v>400</v>
      </c>
      <c r="K14" s="90"/>
      <c r="L14" s="106"/>
      <c r="M14" s="106">
        <f t="shared" si="2"/>
        <v>0</v>
      </c>
      <c r="N14" s="91"/>
      <c r="O14" s="91"/>
      <c r="P14" s="96">
        <f t="shared" si="3"/>
        <v>0</v>
      </c>
      <c r="Q14" s="91"/>
      <c r="R14" s="91"/>
      <c r="S14" s="96">
        <f t="shared" si="4"/>
        <v>0</v>
      </c>
    </row>
    <row r="15" spans="1:19" ht="24">
      <c r="A15" s="97">
        <v>10</v>
      </c>
      <c r="B15" s="399"/>
      <c r="C15" s="399"/>
      <c r="D15" s="100" t="s">
        <v>220</v>
      </c>
      <c r="E15" s="99"/>
      <c r="F15" s="90"/>
      <c r="G15" s="96">
        <f t="shared" si="0"/>
        <v>0</v>
      </c>
      <c r="H15" s="90"/>
      <c r="I15" s="90"/>
      <c r="J15" s="96">
        <f>I15+H15</f>
        <v>0</v>
      </c>
      <c r="K15" s="90"/>
      <c r="L15" s="106">
        <v>25000</v>
      </c>
      <c r="M15" s="106">
        <f>L15+K15</f>
        <v>25000</v>
      </c>
      <c r="N15" s="91"/>
      <c r="O15" s="91"/>
      <c r="P15" s="96">
        <f>O15+N15</f>
        <v>0</v>
      </c>
      <c r="Q15" s="91"/>
      <c r="R15" s="91"/>
      <c r="S15" s="96">
        <f>R15+Q15</f>
        <v>0</v>
      </c>
    </row>
    <row r="16" spans="1:19" ht="36">
      <c r="A16" s="97">
        <v>11</v>
      </c>
      <c r="B16" s="399"/>
      <c r="C16" s="399"/>
      <c r="D16" s="101" t="s">
        <v>188</v>
      </c>
      <c r="E16" s="99"/>
      <c r="F16" s="90"/>
      <c r="G16" s="96">
        <f t="shared" si="0"/>
        <v>0</v>
      </c>
      <c r="H16" s="90"/>
      <c r="I16" s="103">
        <v>10645.1</v>
      </c>
      <c r="J16" s="96">
        <f t="shared" si="1"/>
        <v>10645.1</v>
      </c>
      <c r="K16" s="90"/>
      <c r="L16" s="106">
        <v>39743.375</v>
      </c>
      <c r="M16" s="106">
        <f t="shared" si="2"/>
        <v>39743.375</v>
      </c>
      <c r="N16" s="91"/>
      <c r="O16" s="91"/>
      <c r="P16" s="96">
        <f t="shared" si="3"/>
        <v>0</v>
      </c>
      <c r="Q16" s="91"/>
      <c r="R16" s="91"/>
      <c r="S16" s="96">
        <f t="shared" si="4"/>
        <v>0</v>
      </c>
    </row>
    <row r="17" spans="1:19" ht="24">
      <c r="A17" s="97">
        <v>12</v>
      </c>
      <c r="B17" s="399"/>
      <c r="C17" s="399"/>
      <c r="D17" s="101" t="s">
        <v>187</v>
      </c>
      <c r="E17" s="99"/>
      <c r="F17" s="90"/>
      <c r="G17" s="96">
        <f t="shared" si="0"/>
        <v>0</v>
      </c>
      <c r="H17" s="90"/>
      <c r="I17" s="90">
        <v>3454.9</v>
      </c>
      <c r="J17" s="96">
        <f t="shared" si="1"/>
        <v>3454.9</v>
      </c>
      <c r="K17" s="90"/>
      <c r="L17" s="106"/>
      <c r="M17" s="106">
        <f t="shared" si="2"/>
        <v>0</v>
      </c>
      <c r="N17" s="91"/>
      <c r="O17" s="91"/>
      <c r="P17" s="96">
        <f t="shared" si="3"/>
        <v>0</v>
      </c>
      <c r="Q17" s="91"/>
      <c r="R17" s="91"/>
      <c r="S17" s="96">
        <f t="shared" si="4"/>
        <v>0</v>
      </c>
    </row>
    <row r="18" spans="1:19" ht="24">
      <c r="A18" s="97">
        <v>13</v>
      </c>
      <c r="B18" s="399"/>
      <c r="C18" s="399"/>
      <c r="D18" s="98" t="s">
        <v>184</v>
      </c>
      <c r="E18" s="90"/>
      <c r="F18" s="90"/>
      <c r="G18" s="96">
        <f t="shared" si="0"/>
        <v>0</v>
      </c>
      <c r="H18" s="90">
        <v>34.81</v>
      </c>
      <c r="I18" s="90">
        <v>240</v>
      </c>
      <c r="J18" s="96">
        <f t="shared" si="1"/>
        <v>274.81</v>
      </c>
      <c r="K18" s="90"/>
      <c r="L18" s="106"/>
      <c r="M18" s="106">
        <f t="shared" si="2"/>
        <v>0</v>
      </c>
      <c r="N18" s="91"/>
      <c r="O18" s="91"/>
      <c r="P18" s="96">
        <f t="shared" si="3"/>
        <v>0</v>
      </c>
      <c r="Q18" s="91"/>
      <c r="R18" s="91"/>
      <c r="S18" s="96">
        <f t="shared" si="4"/>
        <v>0</v>
      </c>
    </row>
    <row r="19" spans="1:19" ht="24">
      <c r="A19" s="97">
        <v>14</v>
      </c>
      <c r="B19" s="399"/>
      <c r="C19" s="399"/>
      <c r="D19" s="98" t="s">
        <v>111</v>
      </c>
      <c r="E19" s="90"/>
      <c r="F19" s="90">
        <v>1813.6</v>
      </c>
      <c r="G19" s="96">
        <f t="shared" si="0"/>
        <v>1813.6</v>
      </c>
      <c r="H19" s="90">
        <v>2000</v>
      </c>
      <c r="I19" s="90"/>
      <c r="J19" s="96">
        <f t="shared" si="1"/>
        <v>2000</v>
      </c>
      <c r="K19" s="90">
        <v>3000</v>
      </c>
      <c r="L19" s="106"/>
      <c r="M19" s="106">
        <f t="shared" si="2"/>
        <v>3000</v>
      </c>
      <c r="N19" s="91"/>
      <c r="O19" s="91"/>
      <c r="P19" s="96">
        <f t="shared" si="3"/>
        <v>0</v>
      </c>
      <c r="Q19" s="91"/>
      <c r="R19" s="91"/>
      <c r="S19" s="96">
        <f t="shared" si="4"/>
        <v>0</v>
      </c>
    </row>
    <row r="20" spans="1:19" ht="24">
      <c r="A20" s="97">
        <v>15</v>
      </c>
      <c r="B20" s="399"/>
      <c r="C20" s="399"/>
      <c r="D20" s="98" t="s">
        <v>112</v>
      </c>
      <c r="E20" s="90"/>
      <c r="F20" s="90">
        <v>5154</v>
      </c>
      <c r="G20" s="96">
        <f t="shared" si="0"/>
        <v>5154</v>
      </c>
      <c r="H20" s="90">
        <v>6700.1</v>
      </c>
      <c r="I20" s="90"/>
      <c r="J20" s="96">
        <f t="shared" si="1"/>
        <v>6700.1</v>
      </c>
      <c r="K20" s="90">
        <v>7304</v>
      </c>
      <c r="L20" s="106"/>
      <c r="M20" s="106">
        <f t="shared" si="2"/>
        <v>7304</v>
      </c>
      <c r="N20" s="91"/>
      <c r="O20" s="91"/>
      <c r="P20" s="96">
        <f t="shared" si="3"/>
        <v>0</v>
      </c>
      <c r="Q20" s="91"/>
      <c r="R20" s="91"/>
      <c r="S20" s="96">
        <f t="shared" si="4"/>
        <v>0</v>
      </c>
    </row>
    <row r="21" spans="1:19" ht="24">
      <c r="A21" s="97">
        <v>16</v>
      </c>
      <c r="B21" s="399"/>
      <c r="C21" s="399"/>
      <c r="D21" s="98" t="s">
        <v>113</v>
      </c>
      <c r="E21" s="90">
        <v>1099</v>
      </c>
      <c r="F21" s="90"/>
      <c r="G21" s="96">
        <f t="shared" si="0"/>
        <v>1099</v>
      </c>
      <c r="H21" s="90">
        <v>952.3</v>
      </c>
      <c r="I21" s="90"/>
      <c r="J21" s="96">
        <f t="shared" si="1"/>
        <v>952.3</v>
      </c>
      <c r="K21" s="90">
        <v>1318.2</v>
      </c>
      <c r="L21" s="106"/>
      <c r="M21" s="106">
        <f t="shared" si="2"/>
        <v>1318.2</v>
      </c>
      <c r="N21" s="91"/>
      <c r="O21" s="91"/>
      <c r="P21" s="96">
        <f t="shared" si="3"/>
        <v>0</v>
      </c>
      <c r="Q21" s="91"/>
      <c r="R21" s="91"/>
      <c r="S21" s="96">
        <f t="shared" si="4"/>
        <v>0</v>
      </c>
    </row>
    <row r="22" spans="1:19" ht="12.75">
      <c r="A22" s="97">
        <v>17</v>
      </c>
      <c r="B22" s="399"/>
      <c r="C22" s="399"/>
      <c r="D22" s="98" t="s">
        <v>110</v>
      </c>
      <c r="E22" s="90">
        <v>1539.7</v>
      </c>
      <c r="F22" s="90">
        <v>10</v>
      </c>
      <c r="G22" s="96">
        <f aca="true" t="shared" si="5" ref="G22:G30">F22+E22</f>
        <v>1549.7</v>
      </c>
      <c r="H22" s="90">
        <v>1798.9</v>
      </c>
      <c r="I22" s="90"/>
      <c r="J22" s="96">
        <f aca="true" t="shared" si="6" ref="J22:J30">I22+H22</f>
        <v>1798.9</v>
      </c>
      <c r="K22" s="90">
        <f>'2019-3 СВОД'!F1177-'2019-3 СВОД'!F1211+'2019-3 СВОД'!G1177-'2019-3 СВОД'!G1211</f>
        <v>2004.3000000000002</v>
      </c>
      <c r="L22" s="106"/>
      <c r="M22" s="106">
        <f aca="true" t="shared" si="7" ref="M22:M30">L22+K22</f>
        <v>2004.3000000000002</v>
      </c>
      <c r="N22" s="91"/>
      <c r="O22" s="91"/>
      <c r="P22" s="96">
        <f aca="true" t="shared" si="8" ref="P22:P28">O22+N22</f>
        <v>0</v>
      </c>
      <c r="Q22" s="91"/>
      <c r="R22" s="91"/>
      <c r="S22" s="96">
        <f aca="true" t="shared" si="9" ref="S22:S28">R22+Q22</f>
        <v>0</v>
      </c>
    </row>
    <row r="23" spans="1:19" ht="36">
      <c r="A23" s="97">
        <v>18</v>
      </c>
      <c r="B23" s="399"/>
      <c r="C23" s="399"/>
      <c r="D23" s="98" t="s">
        <v>114</v>
      </c>
      <c r="E23" s="90">
        <v>1781.9</v>
      </c>
      <c r="F23" s="90">
        <v>2765.1</v>
      </c>
      <c r="G23" s="96">
        <f t="shared" si="5"/>
        <v>4547</v>
      </c>
      <c r="H23" s="90">
        <f>6000-I23</f>
        <v>1417.1000000000004</v>
      </c>
      <c r="I23" s="90">
        <v>4582.9</v>
      </c>
      <c r="J23" s="96">
        <f t="shared" si="6"/>
        <v>6000</v>
      </c>
      <c r="K23" s="90">
        <f>'2019-3 СВОД'!G1246+'2019-3 СВОД'!G1245+'2019-3 СВОД'!G1242</f>
        <v>1844.5</v>
      </c>
      <c r="L23" s="106">
        <f>'2019-3 СВОД'!G1272</f>
        <v>1996.7</v>
      </c>
      <c r="M23" s="106">
        <f t="shared" si="7"/>
        <v>3841.2</v>
      </c>
      <c r="N23" s="91"/>
      <c r="O23" s="91"/>
      <c r="P23" s="96">
        <f t="shared" si="8"/>
        <v>0</v>
      </c>
      <c r="Q23" s="91"/>
      <c r="R23" s="91"/>
      <c r="S23" s="96">
        <f t="shared" si="9"/>
        <v>0</v>
      </c>
    </row>
    <row r="24" spans="1:19" ht="24">
      <c r="A24" s="97">
        <v>19</v>
      </c>
      <c r="B24" s="399"/>
      <c r="C24" s="399"/>
      <c r="D24" s="98" t="s">
        <v>115</v>
      </c>
      <c r="E24" s="90">
        <v>1351.1000000000001</v>
      </c>
      <c r="F24" s="90">
        <v>3957.1</v>
      </c>
      <c r="G24" s="96">
        <f t="shared" si="5"/>
        <v>5308.2</v>
      </c>
      <c r="H24" s="90"/>
      <c r="I24" s="90">
        <v>7612</v>
      </c>
      <c r="J24" s="96">
        <f t="shared" si="6"/>
        <v>7612</v>
      </c>
      <c r="K24" s="90">
        <f>'2019-3 СВОД'!G22+'2019-3 СВОД'!G23</f>
        <v>1129</v>
      </c>
      <c r="L24" s="106">
        <f>'2019-3 СВОД'!G52</f>
        <v>7000</v>
      </c>
      <c r="M24" s="106">
        <f t="shared" si="7"/>
        <v>8129</v>
      </c>
      <c r="N24" s="91"/>
      <c r="O24" s="91"/>
      <c r="P24" s="96">
        <f t="shared" si="8"/>
        <v>0</v>
      </c>
      <c r="Q24" s="91"/>
      <c r="R24" s="91"/>
      <c r="S24" s="96">
        <f t="shared" si="9"/>
        <v>0</v>
      </c>
    </row>
    <row r="25" spans="1:19" ht="24">
      <c r="A25" s="97">
        <v>20</v>
      </c>
      <c r="B25" s="399"/>
      <c r="C25" s="399"/>
      <c r="D25" s="93" t="s">
        <v>116</v>
      </c>
      <c r="E25" s="92"/>
      <c r="F25" s="92">
        <v>2433.1</v>
      </c>
      <c r="G25" s="96">
        <f t="shared" si="5"/>
        <v>2433.1</v>
      </c>
      <c r="H25" s="92"/>
      <c r="I25" s="92">
        <v>4781</v>
      </c>
      <c r="J25" s="96">
        <f t="shared" si="6"/>
        <v>4781</v>
      </c>
      <c r="K25" s="92"/>
      <c r="L25" s="105">
        <f>'2019-3 СВОД'!G109</f>
        <v>4000</v>
      </c>
      <c r="M25" s="106">
        <f t="shared" si="7"/>
        <v>4000</v>
      </c>
      <c r="N25" s="94"/>
      <c r="O25" s="94"/>
      <c r="P25" s="96">
        <f t="shared" si="8"/>
        <v>0</v>
      </c>
      <c r="Q25" s="94"/>
      <c r="R25" s="94"/>
      <c r="S25" s="96">
        <f t="shared" si="9"/>
        <v>0</v>
      </c>
    </row>
    <row r="26" spans="1:19" ht="36">
      <c r="A26" s="97">
        <v>21</v>
      </c>
      <c r="B26" s="399"/>
      <c r="C26" s="399"/>
      <c r="D26" s="93" t="s">
        <v>609</v>
      </c>
      <c r="E26" s="92"/>
      <c r="F26" s="92"/>
      <c r="G26" s="96">
        <f t="shared" si="5"/>
        <v>0</v>
      </c>
      <c r="H26" s="92"/>
      <c r="I26" s="92">
        <v>6972.3</v>
      </c>
      <c r="J26" s="96">
        <f t="shared" si="6"/>
        <v>6972.3</v>
      </c>
      <c r="K26" s="92"/>
      <c r="L26" s="105">
        <v>2000</v>
      </c>
      <c r="M26" s="106">
        <f t="shared" si="7"/>
        <v>2000</v>
      </c>
      <c r="N26" s="94"/>
      <c r="O26" s="94"/>
      <c r="P26" s="96">
        <f t="shared" si="8"/>
        <v>0</v>
      </c>
      <c r="Q26" s="94"/>
      <c r="R26" s="94"/>
      <c r="S26" s="96">
        <f t="shared" si="9"/>
        <v>0</v>
      </c>
    </row>
    <row r="27" spans="1:19" ht="24">
      <c r="A27" s="97">
        <v>25</v>
      </c>
      <c r="B27" s="399"/>
      <c r="C27" s="399"/>
      <c r="D27" s="93" t="s">
        <v>224</v>
      </c>
      <c r="E27" s="92"/>
      <c r="F27" s="92"/>
      <c r="G27" s="96">
        <f t="shared" si="5"/>
        <v>0</v>
      </c>
      <c r="H27" s="90"/>
      <c r="I27" s="90"/>
      <c r="J27" s="96">
        <f t="shared" si="6"/>
        <v>0</v>
      </c>
      <c r="K27" s="92">
        <f>'2019-3 СВОД'!G25+'2019-3 СВОД'!G26</f>
        <v>3678.2</v>
      </c>
      <c r="L27" s="105"/>
      <c r="M27" s="106">
        <f t="shared" si="7"/>
        <v>3678.2</v>
      </c>
      <c r="N27" s="94"/>
      <c r="O27" s="94"/>
      <c r="P27" s="96">
        <f t="shared" si="8"/>
        <v>0</v>
      </c>
      <c r="Q27" s="94"/>
      <c r="R27" s="94"/>
      <c r="S27" s="96">
        <f t="shared" si="9"/>
        <v>0</v>
      </c>
    </row>
    <row r="28" spans="1:19" ht="24">
      <c r="A28" s="97">
        <v>27</v>
      </c>
      <c r="B28" s="399"/>
      <c r="C28" s="399"/>
      <c r="D28" s="93" t="s">
        <v>221</v>
      </c>
      <c r="E28" s="92"/>
      <c r="F28" s="92"/>
      <c r="G28" s="96">
        <f t="shared" si="5"/>
        <v>0</v>
      </c>
      <c r="H28" s="90"/>
      <c r="I28" s="90"/>
      <c r="J28" s="96">
        <f t="shared" si="6"/>
        <v>0</v>
      </c>
      <c r="K28" s="92">
        <f>'2019-3 СВОД'!G1118</f>
        <v>896.9000000000001</v>
      </c>
      <c r="L28" s="105"/>
      <c r="M28" s="106">
        <f t="shared" si="7"/>
        <v>896.9000000000001</v>
      </c>
      <c r="N28" s="94"/>
      <c r="O28" s="94"/>
      <c r="P28" s="96">
        <f t="shared" si="8"/>
        <v>0</v>
      </c>
      <c r="Q28" s="94"/>
      <c r="R28" s="94"/>
      <c r="S28" s="96">
        <f t="shared" si="9"/>
        <v>0</v>
      </c>
    </row>
    <row r="29" spans="1:19" ht="24">
      <c r="A29" s="97">
        <v>29</v>
      </c>
      <c r="B29" s="399"/>
      <c r="C29" s="399"/>
      <c r="D29" s="93" t="s">
        <v>222</v>
      </c>
      <c r="E29" s="92"/>
      <c r="F29" s="92"/>
      <c r="G29" s="96">
        <f t="shared" si="5"/>
        <v>0</v>
      </c>
      <c r="H29" s="90"/>
      <c r="I29" s="90"/>
      <c r="J29" s="96">
        <f t="shared" si="6"/>
        <v>0</v>
      </c>
      <c r="K29" s="92">
        <f>'2019-3 СВОД'!G596</f>
        <v>92</v>
      </c>
      <c r="L29" s="105">
        <f>'2019-3 СВОД'!G626</f>
        <v>106</v>
      </c>
      <c r="M29" s="106">
        <f t="shared" si="7"/>
        <v>198</v>
      </c>
      <c r="N29" s="94"/>
      <c r="O29" s="94"/>
      <c r="P29" s="96">
        <f aca="true" t="shared" si="10" ref="P29:P34">O29+N29</f>
        <v>0</v>
      </c>
      <c r="Q29" s="94"/>
      <c r="R29" s="94"/>
      <c r="S29" s="96">
        <f aca="true" t="shared" si="11" ref="S29:S34">R29+Q29</f>
        <v>0</v>
      </c>
    </row>
    <row r="30" spans="1:19" ht="24">
      <c r="A30" s="97">
        <v>30</v>
      </c>
      <c r="B30" s="399"/>
      <c r="C30" s="399"/>
      <c r="D30" s="93" t="s">
        <v>223</v>
      </c>
      <c r="E30" s="92"/>
      <c r="F30" s="92"/>
      <c r="G30" s="96">
        <f t="shared" si="5"/>
        <v>0</v>
      </c>
      <c r="H30" s="90"/>
      <c r="I30" s="90"/>
      <c r="J30" s="96">
        <f t="shared" si="6"/>
        <v>0</v>
      </c>
      <c r="K30" s="92">
        <f>'2019-3 СВОД'!G484+'2019-3 СВОД'!G485+'2019-3 СВОД'!G488</f>
        <v>1344.4</v>
      </c>
      <c r="L30" s="105"/>
      <c r="M30" s="106">
        <f t="shared" si="7"/>
        <v>1344.4</v>
      </c>
      <c r="N30" s="94"/>
      <c r="O30" s="94"/>
      <c r="P30" s="96">
        <f t="shared" si="10"/>
        <v>0</v>
      </c>
      <c r="Q30" s="94"/>
      <c r="R30" s="94"/>
      <c r="S30" s="96">
        <f t="shared" si="11"/>
        <v>0</v>
      </c>
    </row>
    <row r="31" spans="1:19" ht="36">
      <c r="A31" s="97">
        <v>31</v>
      </c>
      <c r="B31" s="399"/>
      <c r="C31" s="399"/>
      <c r="D31" s="104" t="s">
        <v>189</v>
      </c>
      <c r="E31" s="105">
        <v>4312.9849</v>
      </c>
      <c r="F31" s="105"/>
      <c r="G31" s="106">
        <f aca="true" t="shared" si="12" ref="G31:G42">E31+F31</f>
        <v>4312.9849</v>
      </c>
      <c r="H31" s="106"/>
      <c r="I31" s="106"/>
      <c r="J31" s="106">
        <f aca="true" t="shared" si="13" ref="J31:J42">I31+H31</f>
        <v>0</v>
      </c>
      <c r="K31" s="105"/>
      <c r="L31" s="105"/>
      <c r="M31" s="106">
        <f aca="true" t="shared" si="14" ref="M31:M42">L31+K31</f>
        <v>0</v>
      </c>
      <c r="N31" s="107"/>
      <c r="O31" s="107"/>
      <c r="P31" s="106">
        <f t="shared" si="10"/>
        <v>0</v>
      </c>
      <c r="Q31" s="107"/>
      <c r="R31" s="107"/>
      <c r="S31" s="106">
        <f t="shared" si="11"/>
        <v>0</v>
      </c>
    </row>
    <row r="32" spans="1:19" ht="36">
      <c r="A32" s="97">
        <v>32</v>
      </c>
      <c r="B32" s="399"/>
      <c r="C32" s="399"/>
      <c r="D32" s="104" t="s">
        <v>190</v>
      </c>
      <c r="E32" s="105">
        <v>603.16</v>
      </c>
      <c r="F32" s="105"/>
      <c r="G32" s="106">
        <f t="shared" si="12"/>
        <v>603.16</v>
      </c>
      <c r="H32" s="105">
        <v>7500</v>
      </c>
      <c r="I32" s="105"/>
      <c r="J32" s="106">
        <f t="shared" si="13"/>
        <v>7500</v>
      </c>
      <c r="K32" s="105">
        <v>7000</v>
      </c>
      <c r="L32" s="105"/>
      <c r="M32" s="106">
        <f t="shared" si="14"/>
        <v>7000</v>
      </c>
      <c r="N32" s="107"/>
      <c r="O32" s="107"/>
      <c r="P32" s="106">
        <f t="shared" si="10"/>
        <v>0</v>
      </c>
      <c r="Q32" s="107"/>
      <c r="R32" s="107"/>
      <c r="S32" s="106">
        <f t="shared" si="11"/>
        <v>0</v>
      </c>
    </row>
    <row r="33" spans="1:19" ht="24">
      <c r="A33" s="97">
        <v>33</v>
      </c>
      <c r="B33" s="399"/>
      <c r="C33" s="399"/>
      <c r="D33" s="104" t="s">
        <v>191</v>
      </c>
      <c r="E33" s="105">
        <v>6241.07</v>
      </c>
      <c r="F33" s="105"/>
      <c r="G33" s="106">
        <f t="shared" si="12"/>
        <v>6241.07</v>
      </c>
      <c r="H33" s="105">
        <v>7890.5</v>
      </c>
      <c r="I33" s="105"/>
      <c r="J33" s="106">
        <f t="shared" si="13"/>
        <v>7890.5</v>
      </c>
      <c r="K33" s="105">
        <f>'2019-3 СВОД'!F474</f>
        <v>8465.9</v>
      </c>
      <c r="L33" s="105"/>
      <c r="M33" s="106">
        <f t="shared" si="14"/>
        <v>8465.9</v>
      </c>
      <c r="N33" s="107"/>
      <c r="O33" s="107"/>
      <c r="P33" s="106">
        <f t="shared" si="10"/>
        <v>0</v>
      </c>
      <c r="Q33" s="107"/>
      <c r="R33" s="107"/>
      <c r="S33" s="106">
        <f t="shared" si="11"/>
        <v>0</v>
      </c>
    </row>
    <row r="34" spans="1:19" ht="24">
      <c r="A34" s="97">
        <v>34</v>
      </c>
      <c r="B34" s="399"/>
      <c r="C34" s="399"/>
      <c r="D34" s="104" t="s">
        <v>192</v>
      </c>
      <c r="E34" s="105">
        <v>2101.02</v>
      </c>
      <c r="F34" s="105"/>
      <c r="G34" s="106">
        <f t="shared" si="12"/>
        <v>2101.02</v>
      </c>
      <c r="H34" s="105">
        <v>2461.8</v>
      </c>
      <c r="I34" s="105"/>
      <c r="J34" s="106">
        <f t="shared" si="13"/>
        <v>2461.8</v>
      </c>
      <c r="K34" s="105">
        <f>'2019-3 СВОД'!F360+'2019-3 СВОД'!G366+'2019-3 СВОД'!G396</f>
        <v>3127.8999999999996</v>
      </c>
      <c r="L34" s="105"/>
      <c r="M34" s="106">
        <f t="shared" si="14"/>
        <v>3127.8999999999996</v>
      </c>
      <c r="N34" s="107"/>
      <c r="O34" s="107"/>
      <c r="P34" s="106">
        <f t="shared" si="10"/>
        <v>0</v>
      </c>
      <c r="Q34" s="107"/>
      <c r="R34" s="107"/>
      <c r="S34" s="106">
        <f t="shared" si="11"/>
        <v>0</v>
      </c>
    </row>
    <row r="35" spans="1:19" ht="24">
      <c r="A35" s="97">
        <v>35</v>
      </c>
      <c r="B35" s="399"/>
      <c r="C35" s="399"/>
      <c r="D35" s="104" t="s">
        <v>193</v>
      </c>
      <c r="E35" s="105">
        <v>15283.16</v>
      </c>
      <c r="F35" s="105"/>
      <c r="G35" s="106">
        <f t="shared" si="12"/>
        <v>15283.16</v>
      </c>
      <c r="H35" s="105">
        <v>21093.7</v>
      </c>
      <c r="I35" s="105"/>
      <c r="J35" s="106">
        <f t="shared" si="13"/>
        <v>21093.7</v>
      </c>
      <c r="K35" s="105">
        <f>'2019-3 СВОД'!F439+'2019-3 СВОД'!G439</f>
        <v>17599.6</v>
      </c>
      <c r="L35" s="105"/>
      <c r="M35" s="106">
        <f t="shared" si="14"/>
        <v>17599.6</v>
      </c>
      <c r="N35" s="107"/>
      <c r="O35" s="107"/>
      <c r="P35" s="106">
        <f aca="true" t="shared" si="15" ref="P35:P42">O35+N35</f>
        <v>0</v>
      </c>
      <c r="Q35" s="107"/>
      <c r="R35" s="107"/>
      <c r="S35" s="106">
        <f aca="true" t="shared" si="16" ref="S35:S42">R35+Q35</f>
        <v>0</v>
      </c>
    </row>
    <row r="36" spans="1:19" ht="24">
      <c r="A36" s="97">
        <v>36</v>
      </c>
      <c r="B36" s="399"/>
      <c r="C36" s="399"/>
      <c r="D36" s="104" t="s">
        <v>194</v>
      </c>
      <c r="E36" s="105">
        <v>290.09</v>
      </c>
      <c r="F36" s="105"/>
      <c r="G36" s="106">
        <f t="shared" si="12"/>
        <v>290.09</v>
      </c>
      <c r="H36" s="105">
        <v>593.8</v>
      </c>
      <c r="I36" s="105"/>
      <c r="J36" s="106">
        <f t="shared" si="13"/>
        <v>593.8</v>
      </c>
      <c r="K36" s="105">
        <f>'2019-3 СВОД'!F531</f>
        <v>699.6</v>
      </c>
      <c r="L36" s="105"/>
      <c r="M36" s="106">
        <f t="shared" si="14"/>
        <v>699.6</v>
      </c>
      <c r="N36" s="107"/>
      <c r="O36" s="107"/>
      <c r="P36" s="106">
        <f t="shared" si="15"/>
        <v>0</v>
      </c>
      <c r="Q36" s="107"/>
      <c r="R36" s="107"/>
      <c r="S36" s="106">
        <f t="shared" si="16"/>
        <v>0</v>
      </c>
    </row>
    <row r="37" spans="1:19" ht="24">
      <c r="A37" s="97">
        <v>37</v>
      </c>
      <c r="B37" s="399"/>
      <c r="C37" s="399"/>
      <c r="D37" s="104" t="s">
        <v>195</v>
      </c>
      <c r="E37" s="105"/>
      <c r="F37" s="105"/>
      <c r="G37" s="106">
        <f t="shared" si="12"/>
        <v>0</v>
      </c>
      <c r="H37" s="105">
        <v>3000</v>
      </c>
      <c r="I37" s="105"/>
      <c r="J37" s="106">
        <f t="shared" si="13"/>
        <v>3000</v>
      </c>
      <c r="K37" s="105">
        <v>3000</v>
      </c>
      <c r="L37" s="105"/>
      <c r="M37" s="106">
        <f t="shared" si="14"/>
        <v>3000</v>
      </c>
      <c r="N37" s="107"/>
      <c r="O37" s="107"/>
      <c r="P37" s="106">
        <f t="shared" si="15"/>
        <v>0</v>
      </c>
      <c r="Q37" s="107"/>
      <c r="R37" s="107"/>
      <c r="S37" s="106">
        <f t="shared" si="16"/>
        <v>0</v>
      </c>
    </row>
    <row r="38" spans="1:19" ht="36">
      <c r="A38" s="97">
        <v>38</v>
      </c>
      <c r="B38" s="399"/>
      <c r="C38" s="399"/>
      <c r="D38" s="104" t="s">
        <v>196</v>
      </c>
      <c r="E38" s="105"/>
      <c r="F38" s="105"/>
      <c r="G38" s="106">
        <f t="shared" si="12"/>
        <v>0</v>
      </c>
      <c r="H38" s="105"/>
      <c r="I38" s="105">
        <v>212.5</v>
      </c>
      <c r="J38" s="106">
        <f t="shared" si="13"/>
        <v>212.5</v>
      </c>
      <c r="K38" s="105"/>
      <c r="L38" s="105"/>
      <c r="M38" s="106">
        <f t="shared" si="14"/>
        <v>0</v>
      </c>
      <c r="N38" s="107"/>
      <c r="O38" s="107"/>
      <c r="P38" s="106">
        <f t="shared" si="15"/>
        <v>0</v>
      </c>
      <c r="Q38" s="107"/>
      <c r="R38" s="107"/>
      <c r="S38" s="106">
        <f t="shared" si="16"/>
        <v>0</v>
      </c>
    </row>
    <row r="39" spans="1:19" ht="24">
      <c r="A39" s="97">
        <v>40</v>
      </c>
      <c r="B39" s="399"/>
      <c r="C39" s="399"/>
      <c r="D39" s="104" t="s">
        <v>197</v>
      </c>
      <c r="E39" s="105">
        <v>14938.5</v>
      </c>
      <c r="F39" s="105"/>
      <c r="G39" s="106">
        <f t="shared" si="12"/>
        <v>14938.5</v>
      </c>
      <c r="H39" s="105">
        <v>20698</v>
      </c>
      <c r="I39" s="105"/>
      <c r="J39" s="106">
        <f t="shared" si="13"/>
        <v>20698</v>
      </c>
      <c r="K39" s="105">
        <v>15000</v>
      </c>
      <c r="L39" s="105"/>
      <c r="M39" s="106">
        <f t="shared" si="14"/>
        <v>15000</v>
      </c>
      <c r="N39" s="107"/>
      <c r="O39" s="107"/>
      <c r="P39" s="106">
        <f t="shared" si="15"/>
        <v>0</v>
      </c>
      <c r="Q39" s="107"/>
      <c r="R39" s="107"/>
      <c r="S39" s="106">
        <f t="shared" si="16"/>
        <v>0</v>
      </c>
    </row>
    <row r="40" spans="1:19" ht="12.75">
      <c r="A40" s="97">
        <v>41</v>
      </c>
      <c r="B40" s="399"/>
      <c r="C40" s="399"/>
      <c r="D40" s="104" t="s">
        <v>198</v>
      </c>
      <c r="E40" s="105"/>
      <c r="F40" s="105"/>
      <c r="G40" s="106">
        <f t="shared" si="12"/>
        <v>0</v>
      </c>
      <c r="H40" s="105">
        <v>3016.5</v>
      </c>
      <c r="I40" s="105"/>
      <c r="J40" s="106">
        <f t="shared" si="13"/>
        <v>3016.5</v>
      </c>
      <c r="K40" s="105"/>
      <c r="L40" s="105"/>
      <c r="M40" s="106">
        <f t="shared" si="14"/>
        <v>0</v>
      </c>
      <c r="N40" s="107"/>
      <c r="O40" s="107"/>
      <c r="P40" s="106">
        <f t="shared" si="15"/>
        <v>0</v>
      </c>
      <c r="Q40" s="107"/>
      <c r="R40" s="107"/>
      <c r="S40" s="106">
        <f t="shared" si="16"/>
        <v>0</v>
      </c>
    </row>
    <row r="41" spans="1:19" ht="36">
      <c r="A41" s="97">
        <v>42</v>
      </c>
      <c r="B41" s="399"/>
      <c r="C41" s="399"/>
      <c r="D41" s="104" t="s">
        <v>199</v>
      </c>
      <c r="E41" s="105"/>
      <c r="F41" s="105"/>
      <c r="G41" s="106">
        <f t="shared" si="12"/>
        <v>0</v>
      </c>
      <c r="H41" s="105">
        <v>13500</v>
      </c>
      <c r="I41" s="105"/>
      <c r="J41" s="106">
        <f t="shared" si="13"/>
        <v>13500</v>
      </c>
      <c r="K41" s="105"/>
      <c r="L41" s="105"/>
      <c r="M41" s="106">
        <f t="shared" si="14"/>
        <v>0</v>
      </c>
      <c r="N41" s="107"/>
      <c r="O41" s="107"/>
      <c r="P41" s="106">
        <f t="shared" si="15"/>
        <v>0</v>
      </c>
      <c r="Q41" s="107"/>
      <c r="R41" s="107"/>
      <c r="S41" s="106">
        <f t="shared" si="16"/>
        <v>0</v>
      </c>
    </row>
    <row r="42" spans="1:19" ht="12.75">
      <c r="A42" s="97">
        <v>43</v>
      </c>
      <c r="B42" s="399"/>
      <c r="C42" s="399"/>
      <c r="D42" s="104" t="s">
        <v>200</v>
      </c>
      <c r="E42" s="105"/>
      <c r="F42" s="105"/>
      <c r="G42" s="106">
        <f t="shared" si="12"/>
        <v>0</v>
      </c>
      <c r="H42" s="105">
        <v>3400</v>
      </c>
      <c r="I42" s="105">
        <v>0</v>
      </c>
      <c r="J42" s="106">
        <f t="shared" si="13"/>
        <v>3400</v>
      </c>
      <c r="K42" s="105">
        <v>500</v>
      </c>
      <c r="L42" s="105"/>
      <c r="M42" s="106">
        <f t="shared" si="14"/>
        <v>500</v>
      </c>
      <c r="N42" s="107"/>
      <c r="O42" s="107"/>
      <c r="P42" s="106">
        <f t="shared" si="15"/>
        <v>0</v>
      </c>
      <c r="Q42" s="107"/>
      <c r="R42" s="107"/>
      <c r="S42" s="106">
        <f t="shared" si="16"/>
        <v>0</v>
      </c>
    </row>
    <row r="43" spans="1:19" s="19" customFormat="1" ht="12.75">
      <c r="A43" s="92"/>
      <c r="B43" s="92" t="s">
        <v>3</v>
      </c>
      <c r="C43" s="92"/>
      <c r="D43" s="92"/>
      <c r="E43" s="92">
        <f aca="true" t="shared" si="17" ref="E43:S43">SUM(E6:E42)</f>
        <v>49541.68489999999</v>
      </c>
      <c r="F43" s="92">
        <f t="shared" si="17"/>
        <v>107128.12000000001</v>
      </c>
      <c r="G43" s="92">
        <f t="shared" si="17"/>
        <v>156669.8049</v>
      </c>
      <c r="H43" s="92">
        <f t="shared" si="17"/>
        <v>96278.61</v>
      </c>
      <c r="I43" s="92">
        <f t="shared" si="17"/>
        <v>58230.98</v>
      </c>
      <c r="J43" s="92">
        <f t="shared" si="17"/>
        <v>154509.59</v>
      </c>
      <c r="K43" s="92">
        <f t="shared" si="17"/>
        <v>78004.5</v>
      </c>
      <c r="L43" s="105">
        <f t="shared" si="17"/>
        <v>131014.133</v>
      </c>
      <c r="M43" s="105">
        <f t="shared" si="17"/>
        <v>209018.633</v>
      </c>
      <c r="N43" s="92">
        <f t="shared" si="17"/>
        <v>0</v>
      </c>
      <c r="O43" s="92">
        <f t="shared" si="17"/>
        <v>0</v>
      </c>
      <c r="P43" s="92">
        <f t="shared" si="17"/>
        <v>0</v>
      </c>
      <c r="Q43" s="92">
        <f t="shared" si="17"/>
        <v>0</v>
      </c>
      <c r="R43" s="92">
        <f t="shared" si="17"/>
        <v>0</v>
      </c>
      <c r="S43" s="92">
        <f t="shared" si="17"/>
        <v>0</v>
      </c>
    </row>
    <row r="44" spans="1:19" ht="12.75">
      <c r="A44" s="95"/>
      <c r="B44" s="78"/>
      <c r="C44" s="78"/>
      <c r="D44" s="78"/>
      <c r="E44" s="78"/>
      <c r="F44" s="78"/>
      <c r="G44" s="78"/>
      <c r="H44" s="78"/>
      <c r="I44" s="78"/>
      <c r="J44" s="78"/>
      <c r="K44" s="78"/>
      <c r="L44" s="78"/>
      <c r="M44" s="78"/>
      <c r="N44" s="78"/>
      <c r="O44" s="78"/>
      <c r="P44" s="78"/>
      <c r="Q44" s="78"/>
      <c r="R44" s="78"/>
      <c r="S44" s="78"/>
    </row>
    <row r="45" spans="1:19" ht="15">
      <c r="A45" s="95"/>
      <c r="B45" s="393" t="s">
        <v>159</v>
      </c>
      <c r="C45" s="393"/>
      <c r="D45" s="393"/>
      <c r="F45" s="392" t="s">
        <v>8</v>
      </c>
      <c r="G45" s="392"/>
      <c r="I45" s="392" t="s">
        <v>108</v>
      </c>
      <c r="J45" s="392"/>
      <c r="K45" s="78"/>
      <c r="L45" s="78"/>
      <c r="M45" s="78"/>
      <c r="N45" s="78"/>
      <c r="O45" s="78"/>
      <c r="P45" s="78"/>
      <c r="Q45" s="78"/>
      <c r="R45" s="78"/>
      <c r="S45" s="78"/>
    </row>
    <row r="46" spans="1:19" ht="15">
      <c r="A46" s="95"/>
      <c r="B46" s="5"/>
      <c r="C46" s="5"/>
      <c r="F46" s="397" t="s">
        <v>5</v>
      </c>
      <c r="G46" s="397"/>
      <c r="H46" s="173"/>
      <c r="I46" s="397" t="s">
        <v>6</v>
      </c>
      <c r="J46" s="397"/>
      <c r="K46" s="78"/>
      <c r="L46" s="78"/>
      <c r="M46" s="78"/>
      <c r="N46" s="78"/>
      <c r="O46" s="78"/>
      <c r="P46" s="78"/>
      <c r="Q46" s="78"/>
      <c r="R46" s="78"/>
      <c r="S46" s="78"/>
    </row>
    <row r="47" spans="1:19" ht="15">
      <c r="A47" s="95"/>
      <c r="B47" s="10"/>
      <c r="C47" s="10"/>
      <c r="F47" s="9"/>
      <c r="I47" s="9"/>
      <c r="K47" s="78"/>
      <c r="L47" s="78"/>
      <c r="M47" s="78"/>
      <c r="N47" s="78"/>
      <c r="O47" s="78"/>
      <c r="P47" s="78"/>
      <c r="Q47" s="78"/>
      <c r="R47" s="78"/>
      <c r="S47" s="78"/>
    </row>
    <row r="48" spans="1:19" ht="15">
      <c r="A48" s="95"/>
      <c r="B48" s="393" t="s">
        <v>107</v>
      </c>
      <c r="C48" s="393"/>
      <c r="D48" s="393"/>
      <c r="F48" s="392" t="s">
        <v>8</v>
      </c>
      <c r="G48" s="392"/>
      <c r="I48" s="392" t="s">
        <v>109</v>
      </c>
      <c r="J48" s="392"/>
      <c r="K48" s="78"/>
      <c r="L48" s="78"/>
      <c r="M48" s="78"/>
      <c r="N48" s="78"/>
      <c r="O48" s="78"/>
      <c r="P48" s="78"/>
      <c r="Q48" s="78"/>
      <c r="R48" s="78"/>
      <c r="S48" s="78"/>
    </row>
    <row r="49" spans="1:19" ht="15">
      <c r="A49" s="95"/>
      <c r="B49" s="5"/>
      <c r="F49" s="397" t="s">
        <v>5</v>
      </c>
      <c r="G49" s="397"/>
      <c r="H49" s="173"/>
      <c r="I49" s="397" t="s">
        <v>6</v>
      </c>
      <c r="J49" s="397"/>
      <c r="K49" s="78"/>
      <c r="L49" s="78"/>
      <c r="M49" s="78"/>
      <c r="N49" s="78"/>
      <c r="O49" s="78"/>
      <c r="P49" s="78"/>
      <c r="Q49" s="78"/>
      <c r="R49" s="78"/>
      <c r="S49" s="78"/>
    </row>
    <row r="50" ht="12.75">
      <c r="M50" s="172">
        <f>M43-M22-M20-M19</f>
        <v>196710.333</v>
      </c>
    </row>
    <row r="51" ht="12.75">
      <c r="M51" s="173"/>
    </row>
    <row r="52" ht="12.75">
      <c r="M52" s="173"/>
    </row>
    <row r="53" spans="13:14" ht="12.75">
      <c r="M53" s="173">
        <v>177698.937</v>
      </c>
      <c r="N53" s="52">
        <f>M53-M50</f>
        <v>-19011.396000000008</v>
      </c>
    </row>
    <row r="54" ht="12.75">
      <c r="M54" s="173">
        <f>M43-M53</f>
        <v>31319.695999999996</v>
      </c>
    </row>
  </sheetData>
  <sheetProtection/>
  <mergeCells count="22">
    <mergeCell ref="Q3:S3"/>
    <mergeCell ref="B6:B42"/>
    <mergeCell ref="C6:C42"/>
    <mergeCell ref="A1:S1"/>
    <mergeCell ref="A3:A4"/>
    <mergeCell ref="B3:B4"/>
    <mergeCell ref="C3:C4"/>
    <mergeCell ref="D3:D4"/>
    <mergeCell ref="K3:M3"/>
    <mergeCell ref="E3:G3"/>
    <mergeCell ref="N3:P3"/>
    <mergeCell ref="F49:G49"/>
    <mergeCell ref="I49:J49"/>
    <mergeCell ref="H3:J3"/>
    <mergeCell ref="F46:G46"/>
    <mergeCell ref="I46:J46"/>
    <mergeCell ref="F45:G45"/>
    <mergeCell ref="I45:J45"/>
    <mergeCell ref="F48:G48"/>
    <mergeCell ref="I48:J48"/>
    <mergeCell ref="B48:D48"/>
    <mergeCell ref="B45:D45"/>
  </mergeCells>
  <printOptions horizontalCentered="1"/>
  <pageMargins left="0.3937007874015748" right="0.3937007874015748" top="0.7874015748031497" bottom="0.3937007874015748" header="0.5118110236220472" footer="0.5118110236220472"/>
  <pageSetup horizontalDpi="600" verticalDpi="600" orientation="landscape" paperSize="9" scale="72" r:id="rId1"/>
</worksheet>
</file>

<file path=xl/worksheets/sheet10.xml><?xml version="1.0" encoding="utf-8"?>
<worksheet xmlns="http://schemas.openxmlformats.org/spreadsheetml/2006/main" xmlns:r="http://schemas.openxmlformats.org/officeDocument/2006/relationships">
  <sheetPr>
    <tabColor theme="7" tint="0.5999900102615356"/>
    <pageSetUpPr fitToPage="1"/>
  </sheetPr>
  <dimension ref="A1:J245"/>
  <sheetViews>
    <sheetView view="pageBreakPreview" zoomScale="90" zoomScaleSheetLayoutView="90" zoomScalePageLayoutView="0" workbookViewId="0" topLeftCell="B1">
      <selection activeCell="C18" sqref="C18"/>
    </sheetView>
  </sheetViews>
  <sheetFormatPr defaultColWidth="9.00390625" defaultRowHeight="12.75"/>
  <cols>
    <col min="1" max="1" width="6.375" style="0" hidden="1" customWidth="1"/>
    <col min="2" max="2" width="7.625" style="0" customWidth="1"/>
    <col min="3" max="3" width="84.50390625" style="0" customWidth="1"/>
    <col min="4" max="4" width="8.375" style="0" customWidth="1"/>
    <col min="5" max="6" width="8.50390625" style="0" customWidth="1"/>
    <col min="7" max="7" width="11.375" style="0" customWidth="1"/>
    <col min="8" max="8" width="32.50390625" style="0" customWidth="1"/>
    <col min="9" max="9" width="32.375" style="0" customWidth="1"/>
    <col min="10" max="10" width="10.50390625" style="0" customWidth="1"/>
  </cols>
  <sheetData>
    <row r="1" spans="1:9" s="60" customFormat="1" ht="21" thickBot="1">
      <c r="A1" s="432" t="s">
        <v>217</v>
      </c>
      <c r="B1" s="432"/>
      <c r="C1" s="432"/>
      <c r="D1" s="432"/>
      <c r="E1" s="432"/>
      <c r="F1" s="432"/>
      <c r="G1" s="432"/>
      <c r="H1" s="432"/>
      <c r="I1" s="432"/>
    </row>
    <row r="2" s="60" customFormat="1" ht="9.75" customHeight="1" thickTop="1">
      <c r="A2" s="70"/>
    </row>
    <row r="3" spans="1:9" s="60" customFormat="1" ht="15">
      <c r="A3" s="433" t="s">
        <v>160</v>
      </c>
      <c r="B3" s="433"/>
      <c r="C3" s="433"/>
      <c r="D3" s="433"/>
      <c r="E3" s="433"/>
      <c r="F3" s="433"/>
      <c r="G3" s="433"/>
      <c r="H3" s="433"/>
      <c r="I3" s="433"/>
    </row>
    <row r="4" spans="1:9" s="60" customFormat="1" ht="12" customHeight="1">
      <c r="A4" s="434" t="s">
        <v>206</v>
      </c>
      <c r="B4" s="434"/>
      <c r="C4" s="434"/>
      <c r="D4" s="434"/>
      <c r="E4" s="434"/>
      <c r="F4" s="434"/>
      <c r="G4" s="434"/>
      <c r="H4" s="434"/>
      <c r="I4" s="434"/>
    </row>
    <row r="5" spans="1:10" s="60" customFormat="1" ht="12" customHeight="1">
      <c r="A5" s="112"/>
      <c r="B5" s="433" t="s">
        <v>205</v>
      </c>
      <c r="C5" s="433"/>
      <c r="D5" s="433"/>
      <c r="E5" s="433"/>
      <c r="F5" s="433"/>
      <c r="G5" s="433"/>
      <c r="H5" s="433"/>
      <c r="I5" s="433"/>
      <c r="J5" s="433"/>
    </row>
    <row r="6" spans="1:10" s="60" customFormat="1" ht="12" customHeight="1">
      <c r="A6" s="112"/>
      <c r="B6" s="434" t="s">
        <v>207</v>
      </c>
      <c r="C6" s="434"/>
      <c r="D6" s="434"/>
      <c r="E6" s="434"/>
      <c r="F6" s="434"/>
      <c r="G6" s="434"/>
      <c r="H6" s="434"/>
      <c r="I6" s="434"/>
      <c r="J6" s="434"/>
    </row>
    <row r="7" spans="1:9" s="60" customFormat="1" ht="12" customHeight="1">
      <c r="A7" s="112"/>
      <c r="B7" s="119"/>
      <c r="C7" s="116"/>
      <c r="D7" s="116"/>
      <c r="E7" s="116"/>
      <c r="F7" s="116"/>
      <c r="G7" s="116"/>
      <c r="H7" s="116"/>
      <c r="I7" s="116"/>
    </row>
    <row r="8" spans="1:9" s="60" customFormat="1" ht="12" customHeight="1">
      <c r="A8" s="112"/>
      <c r="B8" s="115" t="s">
        <v>242</v>
      </c>
      <c r="C8" s="116"/>
      <c r="D8" s="116"/>
      <c r="E8" s="116"/>
      <c r="F8" s="116"/>
      <c r="G8" s="116"/>
      <c r="H8" s="116"/>
      <c r="I8" s="116"/>
    </row>
    <row r="9" spans="1:9" s="60" customFormat="1" ht="12" customHeight="1">
      <c r="A9" s="112"/>
      <c r="B9" s="117"/>
      <c r="C9" s="118" t="s">
        <v>201</v>
      </c>
      <c r="D9" s="116"/>
      <c r="E9" s="120" t="s">
        <v>202</v>
      </c>
      <c r="F9" s="116"/>
      <c r="H9" s="116"/>
      <c r="I9" s="116"/>
    </row>
    <row r="10" spans="1:9" s="60" customFormat="1" ht="12" customHeight="1">
      <c r="A10" s="112"/>
      <c r="B10" s="121"/>
      <c r="C10" s="121"/>
      <c r="D10" s="121"/>
      <c r="E10" s="121"/>
      <c r="F10" s="121"/>
      <c r="G10" s="121"/>
      <c r="H10" s="121"/>
      <c r="I10" s="121"/>
    </row>
    <row r="11" spans="1:9" s="60" customFormat="1" ht="12" customHeight="1">
      <c r="A11" s="112"/>
      <c r="B11" s="115" t="s">
        <v>203</v>
      </c>
      <c r="C11" s="115"/>
      <c r="D11" s="115"/>
      <c r="E11" s="115"/>
      <c r="F11" s="115"/>
      <c r="G11" s="115"/>
      <c r="H11" s="115"/>
      <c r="I11" s="115"/>
    </row>
    <row r="12" spans="1:9" s="60" customFormat="1" ht="12" customHeight="1">
      <c r="A12" s="112"/>
      <c r="B12" s="400" t="s">
        <v>204</v>
      </c>
      <c r="C12" s="400"/>
      <c r="D12" s="400"/>
      <c r="E12" s="400"/>
      <c r="F12" s="400"/>
      <c r="G12" s="400"/>
      <c r="H12" s="400"/>
      <c r="I12" s="400"/>
    </row>
    <row r="13" s="60" customFormat="1" ht="12.75">
      <c r="I13" s="71" t="s">
        <v>4</v>
      </c>
    </row>
    <row r="14" spans="1:9" s="60" customFormat="1" ht="12.75">
      <c r="A14" s="417" t="s">
        <v>23</v>
      </c>
      <c r="B14" s="417"/>
      <c r="C14" s="417" t="s">
        <v>1</v>
      </c>
      <c r="D14" s="417" t="s">
        <v>175</v>
      </c>
      <c r="E14" s="417" t="s">
        <v>176</v>
      </c>
      <c r="F14" s="417" t="s">
        <v>177</v>
      </c>
      <c r="G14" s="417"/>
      <c r="H14" s="417" t="s">
        <v>208</v>
      </c>
      <c r="I14" s="417"/>
    </row>
    <row r="15" spans="1:9" s="60" customFormat="1" ht="27" customHeight="1">
      <c r="A15" s="417"/>
      <c r="B15" s="417"/>
      <c r="C15" s="417"/>
      <c r="D15" s="417"/>
      <c r="E15" s="417"/>
      <c r="F15" s="111" t="s">
        <v>24</v>
      </c>
      <c r="G15" s="111" t="s">
        <v>36</v>
      </c>
      <c r="H15" s="417"/>
      <c r="I15" s="417"/>
    </row>
    <row r="16" spans="1:9" s="60" customFormat="1" ht="13.5" thickBot="1">
      <c r="A16" s="415">
        <v>1</v>
      </c>
      <c r="B16" s="415"/>
      <c r="C16" s="113">
        <v>2</v>
      </c>
      <c r="D16" s="113">
        <v>3</v>
      </c>
      <c r="E16" s="113">
        <v>4</v>
      </c>
      <c r="F16" s="113">
        <v>5</v>
      </c>
      <c r="G16" s="113">
        <v>6</v>
      </c>
      <c r="H16" s="416">
        <v>7</v>
      </c>
      <c r="I16" s="416"/>
    </row>
    <row r="17" spans="2:9" s="165" customFormat="1" ht="13.5" thickTop="1">
      <c r="B17" s="169">
        <f>'2019-3 СВОД'!B759</f>
        <v>1115010</v>
      </c>
      <c r="C17" s="169" t="str">
        <f>'2019-3 СВОД'!C759</f>
        <v>Програма Проведення спортивної роботи в регіоні</v>
      </c>
      <c r="D17" s="166">
        <f>D18+D75</f>
        <v>23282.44</v>
      </c>
      <c r="E17" s="166">
        <f>E18+E75</f>
        <v>26326.9</v>
      </c>
      <c r="F17" s="166">
        <f>F18+F75</f>
        <v>28168.199999999997</v>
      </c>
      <c r="G17" s="166">
        <f>G18+G75</f>
        <v>0</v>
      </c>
      <c r="H17" s="428"/>
      <c r="I17" s="428"/>
    </row>
    <row r="18" spans="2:9" s="156" customFormat="1" ht="26.25">
      <c r="B18" s="154">
        <f>'2019-3 СВОД'!B760</f>
        <v>1115011</v>
      </c>
      <c r="C18" s="154" t="str">
        <f>'2019-3 СВОД'!C760</f>
        <v>Підпрограма Проведення навчально-тренувальних зборів і змагань з олімпійських видів спорту</v>
      </c>
      <c r="D18" s="124">
        <f>D19+D54</f>
        <v>18868.1</v>
      </c>
      <c r="E18" s="124">
        <f>E19+E54</f>
        <v>20369.4</v>
      </c>
      <c r="F18" s="124">
        <f>F19+F54</f>
        <v>22193.699999999997</v>
      </c>
      <c r="G18" s="124">
        <f>G19+G54</f>
        <v>0</v>
      </c>
      <c r="H18" s="464"/>
      <c r="I18" s="465"/>
    </row>
    <row r="19" spans="1:9" ht="12.75">
      <c r="A19" s="6"/>
      <c r="B19" s="27">
        <v>2000</v>
      </c>
      <c r="C19" s="28" t="s">
        <v>37</v>
      </c>
      <c r="D19" s="33">
        <f>D20+D25+D42+D45+D49+D53</f>
        <v>18868.1</v>
      </c>
      <c r="E19" s="33">
        <f>E20+E25+E42+E45+E49+E53</f>
        <v>20369.4</v>
      </c>
      <c r="F19" s="33">
        <f>F20+F25+F42+F45+F49+F53</f>
        <v>22193.699999999997</v>
      </c>
      <c r="G19" s="33">
        <f>G20+G25+G42+G45+G49+G53</f>
        <v>0</v>
      </c>
      <c r="H19" s="402"/>
      <c r="I19" s="402"/>
    </row>
    <row r="20" spans="1:9" ht="12.75" customHeight="1" hidden="1">
      <c r="A20" s="6"/>
      <c r="B20" s="29">
        <v>2100</v>
      </c>
      <c r="C20" s="30" t="s">
        <v>38</v>
      </c>
      <c r="D20" s="35">
        <f>D21+D24</f>
        <v>0</v>
      </c>
      <c r="E20" s="35">
        <f>E21+E24</f>
        <v>0</v>
      </c>
      <c r="F20" s="35">
        <f>F21+F24</f>
        <v>0</v>
      </c>
      <c r="G20" s="35">
        <f>G21+G24</f>
        <v>0</v>
      </c>
      <c r="H20" s="402"/>
      <c r="I20" s="402"/>
    </row>
    <row r="21" spans="1:9" ht="12.75" customHeight="1" hidden="1">
      <c r="A21" s="6"/>
      <c r="B21" s="29">
        <v>2110</v>
      </c>
      <c r="C21" s="30" t="s">
        <v>39</v>
      </c>
      <c r="D21" s="35">
        <f>D22+D23</f>
        <v>0</v>
      </c>
      <c r="E21" s="35">
        <f>E22+E23</f>
        <v>0</v>
      </c>
      <c r="F21" s="35">
        <f>F22+F23</f>
        <v>0</v>
      </c>
      <c r="G21" s="35">
        <f>G22+G23</f>
        <v>0</v>
      </c>
      <c r="H21" s="402"/>
      <c r="I21" s="402"/>
    </row>
    <row r="22" spans="1:9" ht="12.75" customHeight="1" hidden="1">
      <c r="A22" s="6"/>
      <c r="B22" s="29">
        <v>2111</v>
      </c>
      <c r="C22" s="30" t="s">
        <v>42</v>
      </c>
      <c r="D22" s="34">
        <f>'2019-3 СВОД'!D764</f>
        <v>0</v>
      </c>
      <c r="E22" s="34">
        <f>'2019-3 СВОД'!E764</f>
        <v>0</v>
      </c>
      <c r="F22" s="34">
        <f>'2019-3 СВОД'!F764</f>
        <v>0</v>
      </c>
      <c r="G22" s="34">
        <f>'2019-3 СВОД'!G764</f>
        <v>0</v>
      </c>
      <c r="H22" s="402"/>
      <c r="I22" s="402"/>
    </row>
    <row r="23" spans="1:9" ht="12.75" customHeight="1" hidden="1">
      <c r="A23" s="6"/>
      <c r="B23" s="29">
        <v>2112</v>
      </c>
      <c r="C23" s="30" t="s">
        <v>43</v>
      </c>
      <c r="D23" s="34">
        <f>'2019-3 СВОД'!D765</f>
        <v>0</v>
      </c>
      <c r="E23" s="34">
        <f>'2019-3 СВОД'!E765</f>
        <v>0</v>
      </c>
      <c r="F23" s="34">
        <f>'2019-3 СВОД'!F765</f>
        <v>0</v>
      </c>
      <c r="G23" s="34">
        <f>'2019-3 СВОД'!G765</f>
        <v>0</v>
      </c>
      <c r="H23" s="402"/>
      <c r="I23" s="402"/>
    </row>
    <row r="24" spans="1:9" ht="12.75" customHeight="1" hidden="1">
      <c r="A24" s="6"/>
      <c r="B24" s="29">
        <v>2120</v>
      </c>
      <c r="C24" s="30" t="s">
        <v>44</v>
      </c>
      <c r="D24" s="34">
        <f>'2019-3 СВОД'!D766</f>
        <v>0</v>
      </c>
      <c r="E24" s="34">
        <f>'2019-3 СВОД'!E766</f>
        <v>0</v>
      </c>
      <c r="F24" s="34">
        <f>'2019-3 СВОД'!F766</f>
        <v>0</v>
      </c>
      <c r="G24" s="34">
        <f>'2019-3 СВОД'!G766</f>
        <v>0</v>
      </c>
      <c r="H24" s="402"/>
      <c r="I24" s="402"/>
    </row>
    <row r="25" spans="1:9" ht="12.75" customHeight="1">
      <c r="A25" s="6"/>
      <c r="B25" s="27">
        <v>2200</v>
      </c>
      <c r="C25" s="28" t="s">
        <v>45</v>
      </c>
      <c r="D25" s="33">
        <f>SUM(D26:D32)+D39</f>
        <v>18868.1</v>
      </c>
      <c r="E25" s="33">
        <f>SUM(E26:E32)+E39</f>
        <v>20369.4</v>
      </c>
      <c r="F25" s="33">
        <f>SUM(F26:F32)+F39</f>
        <v>22193.699999999997</v>
      </c>
      <c r="G25" s="33">
        <f>SUM(G26:G32)+G39</f>
        <v>0</v>
      </c>
      <c r="H25" s="402"/>
      <c r="I25" s="402"/>
    </row>
    <row r="26" spans="1:9" ht="12.75">
      <c r="A26" s="6"/>
      <c r="B26" s="29">
        <v>2210</v>
      </c>
      <c r="C26" s="30" t="s">
        <v>46</v>
      </c>
      <c r="D26" s="34">
        <f>'2019-3 СВОД'!D768</f>
        <v>309.6</v>
      </c>
      <c r="E26" s="34">
        <f>'2019-3 СВОД'!E768</f>
        <v>384</v>
      </c>
      <c r="F26" s="34">
        <f>'2019-3 СВОД'!F768</f>
        <v>425.29999999999995</v>
      </c>
      <c r="G26" s="34">
        <f>'2019-3 СВОД'!G768</f>
        <v>0</v>
      </c>
      <c r="H26" s="402"/>
      <c r="I26" s="402"/>
    </row>
    <row r="27" spans="1:9" ht="12.75" customHeight="1" hidden="1">
      <c r="A27" s="6"/>
      <c r="B27" s="29">
        <v>2220</v>
      </c>
      <c r="C27" s="30" t="s">
        <v>47</v>
      </c>
      <c r="D27" s="34">
        <f>'2019-3 СВОД'!D769</f>
        <v>0</v>
      </c>
      <c r="E27" s="34">
        <f>'2019-3 СВОД'!E769</f>
        <v>0</v>
      </c>
      <c r="F27" s="34">
        <f>'2019-3 СВОД'!F769</f>
        <v>0</v>
      </c>
      <c r="G27" s="34">
        <f>'2019-3 СВОД'!G769</f>
        <v>0</v>
      </c>
      <c r="H27" s="402"/>
      <c r="I27" s="402"/>
    </row>
    <row r="28" spans="1:9" ht="12.75" customHeight="1" hidden="1">
      <c r="A28" s="6"/>
      <c r="B28" s="29">
        <v>2230</v>
      </c>
      <c r="C28" s="30" t="s">
        <v>48</v>
      </c>
      <c r="D28" s="34">
        <f>'2019-3 СВОД'!D770</f>
        <v>0</v>
      </c>
      <c r="E28" s="34">
        <f>'2019-3 СВОД'!E770</f>
        <v>0</v>
      </c>
      <c r="F28" s="34">
        <f>'2019-3 СВОД'!F770</f>
        <v>0</v>
      </c>
      <c r="G28" s="34">
        <f>'2019-3 СВОД'!G770</f>
        <v>0</v>
      </c>
      <c r="H28" s="402"/>
      <c r="I28" s="402"/>
    </row>
    <row r="29" spans="1:9" ht="12.75" customHeight="1">
      <c r="A29" s="6"/>
      <c r="B29" s="29">
        <v>2240</v>
      </c>
      <c r="C29" s="30" t="s">
        <v>49</v>
      </c>
      <c r="D29" s="34">
        <f>'2019-3 СВОД'!D771</f>
        <v>9738</v>
      </c>
      <c r="E29" s="34">
        <f>'2019-3 СВОД'!E771</f>
        <v>10671.4</v>
      </c>
      <c r="F29" s="34">
        <f>'2019-3 СВОД'!F771</f>
        <v>11802.4</v>
      </c>
      <c r="G29" s="34">
        <f>'2019-3 СВОД'!G771</f>
        <v>0</v>
      </c>
      <c r="H29" s="402"/>
      <c r="I29" s="402"/>
    </row>
    <row r="30" spans="1:9" ht="12.75" customHeight="1">
      <c r="A30" s="6"/>
      <c r="B30" s="29">
        <v>2250</v>
      </c>
      <c r="C30" s="30" t="s">
        <v>50</v>
      </c>
      <c r="D30" s="34">
        <f>'2019-3 СВОД'!D772</f>
        <v>8820.5</v>
      </c>
      <c r="E30" s="34">
        <f>'2019-3 СВОД'!E772</f>
        <v>9314</v>
      </c>
      <c r="F30" s="34">
        <f>'2019-3 СВОД'!F772</f>
        <v>9966</v>
      </c>
      <c r="G30" s="34">
        <f>'2019-3 СВОД'!G772</f>
        <v>0</v>
      </c>
      <c r="H30" s="402"/>
      <c r="I30" s="402"/>
    </row>
    <row r="31" spans="1:9" ht="12.75" customHeight="1" hidden="1">
      <c r="A31" s="6"/>
      <c r="B31" s="29">
        <v>2260</v>
      </c>
      <c r="C31" s="30" t="s">
        <v>51</v>
      </c>
      <c r="D31" s="34">
        <f>'2019-3 СВОД'!D773</f>
        <v>0</v>
      </c>
      <c r="E31" s="34">
        <f>'2019-3 СВОД'!E773</f>
        <v>0</v>
      </c>
      <c r="F31" s="34">
        <f>'2019-3 СВОД'!F773</f>
        <v>0</v>
      </c>
      <c r="G31" s="34">
        <f>'2019-3 СВОД'!G773</f>
        <v>0</v>
      </c>
      <c r="H31" s="402"/>
      <c r="I31" s="402"/>
    </row>
    <row r="32" spans="1:9" ht="12.75" customHeight="1" hidden="1">
      <c r="A32" s="6"/>
      <c r="B32" s="27">
        <v>2270</v>
      </c>
      <c r="C32" s="28" t="s">
        <v>52</v>
      </c>
      <c r="D32" s="33">
        <f>D33+D34+D35+D36+D37+D38</f>
        <v>0</v>
      </c>
      <c r="E32" s="33">
        <f>E33+E34+E35+E36+E37+E38</f>
        <v>0</v>
      </c>
      <c r="F32" s="33">
        <f>F33+F34+F35+F36+F37+F38</f>
        <v>0</v>
      </c>
      <c r="G32" s="33">
        <f>G33+G34+G35+G36+G37+G38</f>
        <v>0</v>
      </c>
      <c r="H32" s="402"/>
      <c r="I32" s="402"/>
    </row>
    <row r="33" spans="1:9" ht="12.75" customHeight="1" hidden="1">
      <c r="A33" s="6"/>
      <c r="B33" s="29">
        <v>2271</v>
      </c>
      <c r="C33" s="30" t="s">
        <v>53</v>
      </c>
      <c r="D33" s="34">
        <f>'2019-3 СВОД'!D775</f>
        <v>0</v>
      </c>
      <c r="E33" s="34">
        <f>'2019-3 СВОД'!E775</f>
        <v>0</v>
      </c>
      <c r="F33" s="34">
        <f>'2019-3 СВОД'!F775</f>
        <v>0</v>
      </c>
      <c r="G33" s="34">
        <f>'2019-3 СВОД'!G775</f>
        <v>0</v>
      </c>
      <c r="H33" s="402"/>
      <c r="I33" s="402"/>
    </row>
    <row r="34" spans="1:9" ht="12.75" customHeight="1" hidden="1">
      <c r="A34" s="6"/>
      <c r="B34" s="29">
        <v>2272</v>
      </c>
      <c r="C34" s="30" t="s">
        <v>54</v>
      </c>
      <c r="D34" s="34">
        <f>'2019-3 СВОД'!D776</f>
        <v>0</v>
      </c>
      <c r="E34" s="34">
        <f>'2019-3 СВОД'!E776</f>
        <v>0</v>
      </c>
      <c r="F34" s="34">
        <f>'2019-3 СВОД'!F776</f>
        <v>0</v>
      </c>
      <c r="G34" s="34">
        <f>'2019-3 СВОД'!G776</f>
        <v>0</v>
      </c>
      <c r="H34" s="402"/>
      <c r="I34" s="402"/>
    </row>
    <row r="35" spans="1:9" ht="12.75" customHeight="1" hidden="1">
      <c r="A35" s="6"/>
      <c r="B35" s="29">
        <v>2273</v>
      </c>
      <c r="C35" s="30" t="s">
        <v>55</v>
      </c>
      <c r="D35" s="34">
        <f>'2019-3 СВОД'!D777</f>
        <v>0</v>
      </c>
      <c r="E35" s="34">
        <f>'2019-3 СВОД'!E777</f>
        <v>0</v>
      </c>
      <c r="F35" s="34">
        <f>'2019-3 СВОД'!F777</f>
        <v>0</v>
      </c>
      <c r="G35" s="34">
        <f>'2019-3 СВОД'!G777</f>
        <v>0</v>
      </c>
      <c r="H35" s="402"/>
      <c r="I35" s="402"/>
    </row>
    <row r="36" spans="1:9" ht="12.75" customHeight="1" hidden="1">
      <c r="A36" s="6"/>
      <c r="B36" s="29">
        <v>2274</v>
      </c>
      <c r="C36" s="30" t="s">
        <v>56</v>
      </c>
      <c r="D36" s="34">
        <f>'2019-3 СВОД'!D778</f>
        <v>0</v>
      </c>
      <c r="E36" s="34">
        <f>'2019-3 СВОД'!E778</f>
        <v>0</v>
      </c>
      <c r="F36" s="34">
        <f>'2019-3 СВОД'!F778</f>
        <v>0</v>
      </c>
      <c r="G36" s="34">
        <f>'2019-3 СВОД'!G778</f>
        <v>0</v>
      </c>
      <c r="H36" s="402"/>
      <c r="I36" s="402"/>
    </row>
    <row r="37" spans="1:9" ht="12.75" customHeight="1" hidden="1">
      <c r="A37" s="6"/>
      <c r="B37" s="29">
        <v>2275</v>
      </c>
      <c r="C37" s="30" t="s">
        <v>57</v>
      </c>
      <c r="D37" s="34">
        <f>'2019-3 СВОД'!D779</f>
        <v>0</v>
      </c>
      <c r="E37" s="34">
        <f>'2019-3 СВОД'!E779</f>
        <v>0</v>
      </c>
      <c r="F37" s="34">
        <f>'2019-3 СВОД'!F779</f>
        <v>0</v>
      </c>
      <c r="G37" s="34">
        <f>'2019-3 СВОД'!G779</f>
        <v>0</v>
      </c>
      <c r="H37" s="402"/>
      <c r="I37" s="402"/>
    </row>
    <row r="38" spans="1:9" ht="12.75" customHeight="1" hidden="1">
      <c r="A38" s="6"/>
      <c r="B38" s="31">
        <v>2276</v>
      </c>
      <c r="C38" s="32" t="s">
        <v>58</v>
      </c>
      <c r="D38" s="34">
        <f>'2019-3 СВОД'!D780</f>
        <v>0</v>
      </c>
      <c r="E38" s="34">
        <f>'2019-3 СВОД'!E780</f>
        <v>0</v>
      </c>
      <c r="F38" s="34">
        <f>'2019-3 СВОД'!F780</f>
        <v>0</v>
      </c>
      <c r="G38" s="34">
        <f>'2019-3 СВОД'!G780</f>
        <v>0</v>
      </c>
      <c r="H38" s="402"/>
      <c r="I38" s="402"/>
    </row>
    <row r="39" spans="1:9" ht="12.75" hidden="1">
      <c r="A39" s="6"/>
      <c r="B39" s="27">
        <v>2280</v>
      </c>
      <c r="C39" s="28" t="s">
        <v>59</v>
      </c>
      <c r="D39" s="33">
        <f>D40+D41</f>
        <v>0</v>
      </c>
      <c r="E39" s="33">
        <f>E40+E41</f>
        <v>0</v>
      </c>
      <c r="F39" s="33">
        <f>F40+F41</f>
        <v>0</v>
      </c>
      <c r="G39" s="33">
        <f>G40+G41</f>
        <v>0</v>
      </c>
      <c r="H39" s="402"/>
      <c r="I39" s="402"/>
    </row>
    <row r="40" spans="1:9" ht="12.75" hidden="1">
      <c r="A40" s="6"/>
      <c r="B40" s="29">
        <v>2281</v>
      </c>
      <c r="C40" s="30" t="s">
        <v>60</v>
      </c>
      <c r="D40" s="34">
        <f>'2019-3 СВОД'!D782</f>
        <v>0</v>
      </c>
      <c r="E40" s="34">
        <f>'2019-3 СВОД'!E782</f>
        <v>0</v>
      </c>
      <c r="F40" s="34">
        <f>'2019-3 СВОД'!F782</f>
        <v>0</v>
      </c>
      <c r="G40" s="34">
        <f>'2019-3 СВОД'!G782</f>
        <v>0</v>
      </c>
      <c r="H40" s="402"/>
      <c r="I40" s="402"/>
    </row>
    <row r="41" spans="1:9" ht="12.75" hidden="1">
      <c r="A41" s="6"/>
      <c r="B41" s="29">
        <v>2282</v>
      </c>
      <c r="C41" s="30" t="s">
        <v>61</v>
      </c>
      <c r="D41" s="34">
        <f>'2019-3 СВОД'!D783</f>
        <v>0</v>
      </c>
      <c r="E41" s="34">
        <f>'2019-3 СВОД'!E783</f>
        <v>0</v>
      </c>
      <c r="F41" s="34">
        <f>'2019-3 СВОД'!F783</f>
        <v>0</v>
      </c>
      <c r="G41" s="34">
        <f>'2019-3 СВОД'!G783</f>
        <v>0</v>
      </c>
      <c r="H41" s="402"/>
      <c r="I41" s="402"/>
    </row>
    <row r="42" spans="1:9" ht="12.75" customHeight="1" hidden="1">
      <c r="A42" s="6"/>
      <c r="B42" s="27">
        <v>2400</v>
      </c>
      <c r="C42" s="28" t="s">
        <v>62</v>
      </c>
      <c r="D42" s="34">
        <f>D43+D44</f>
        <v>0</v>
      </c>
      <c r="E42" s="34">
        <f>E43+E44</f>
        <v>0</v>
      </c>
      <c r="F42" s="34">
        <f>F43+F44</f>
        <v>0</v>
      </c>
      <c r="G42" s="34">
        <f>G43+G44</f>
        <v>0</v>
      </c>
      <c r="H42" s="402"/>
      <c r="I42" s="402"/>
    </row>
    <row r="43" spans="1:9" ht="12.75" customHeight="1" hidden="1">
      <c r="A43" s="6"/>
      <c r="B43" s="29">
        <v>2410</v>
      </c>
      <c r="C43" s="30" t="s">
        <v>63</v>
      </c>
      <c r="D43" s="34">
        <f>'2019-3 СВОД'!D785</f>
        <v>0</v>
      </c>
      <c r="E43" s="34">
        <f>'2019-3 СВОД'!E785</f>
        <v>0</v>
      </c>
      <c r="F43" s="34">
        <f>'2019-3 СВОД'!F785</f>
        <v>0</v>
      </c>
      <c r="G43" s="34">
        <f>'2019-3 СВОД'!G785</f>
        <v>0</v>
      </c>
      <c r="H43" s="402"/>
      <c r="I43" s="402"/>
    </row>
    <row r="44" spans="1:9" ht="12.75" customHeight="1" hidden="1">
      <c r="A44" s="6"/>
      <c r="B44" s="29">
        <v>2420</v>
      </c>
      <c r="C44" s="30" t="s">
        <v>64</v>
      </c>
      <c r="D44" s="34">
        <f>'2019-3 СВОД'!D786</f>
        <v>0</v>
      </c>
      <c r="E44" s="34">
        <f>'2019-3 СВОД'!E786</f>
        <v>0</v>
      </c>
      <c r="F44" s="34">
        <f>'2019-3 СВОД'!F786</f>
        <v>0</v>
      </c>
      <c r="G44" s="34">
        <f>'2019-3 СВОД'!G786</f>
        <v>0</v>
      </c>
      <c r="H44" s="402"/>
      <c r="I44" s="402"/>
    </row>
    <row r="45" spans="1:9" ht="12.75" customHeight="1" hidden="1">
      <c r="A45" s="6"/>
      <c r="B45" s="27">
        <v>2600</v>
      </c>
      <c r="C45" s="28" t="s">
        <v>65</v>
      </c>
      <c r="D45" s="33">
        <f>D46+D47+D48</f>
        <v>0</v>
      </c>
      <c r="E45" s="33">
        <f>E46+E47+E48</f>
        <v>0</v>
      </c>
      <c r="F45" s="33">
        <f>F46+F47+F48</f>
        <v>0</v>
      </c>
      <c r="G45" s="33">
        <f>G46+G47+G48</f>
        <v>0</v>
      </c>
      <c r="H45" s="402"/>
      <c r="I45" s="402"/>
    </row>
    <row r="46" spans="1:9" ht="12.75" hidden="1">
      <c r="A46" s="6"/>
      <c r="B46" s="29">
        <v>2610</v>
      </c>
      <c r="C46" s="30" t="s">
        <v>66</v>
      </c>
      <c r="D46" s="34">
        <f>'2019-3 СВОД'!D788</f>
        <v>0</v>
      </c>
      <c r="E46" s="34">
        <f>'2019-3 СВОД'!E788</f>
        <v>0</v>
      </c>
      <c r="F46" s="34">
        <f>'2019-3 СВОД'!F788</f>
        <v>0</v>
      </c>
      <c r="G46" s="34">
        <f>'2019-3 СВОД'!G788</f>
        <v>0</v>
      </c>
      <c r="H46" s="402"/>
      <c r="I46" s="402"/>
    </row>
    <row r="47" spans="1:9" ht="12.75" customHeight="1" hidden="1">
      <c r="A47" s="6"/>
      <c r="B47" s="29">
        <v>2620</v>
      </c>
      <c r="C47" s="30" t="s">
        <v>67</v>
      </c>
      <c r="D47" s="34">
        <f>'2019-3 СВОД'!D789</f>
        <v>0</v>
      </c>
      <c r="E47" s="34">
        <f>'2019-3 СВОД'!E789</f>
        <v>0</v>
      </c>
      <c r="F47" s="34">
        <f>'2019-3 СВОД'!F789</f>
        <v>0</v>
      </c>
      <c r="G47" s="34">
        <f>'2019-3 СВОД'!G789</f>
        <v>0</v>
      </c>
      <c r="H47" s="402"/>
      <c r="I47" s="402"/>
    </row>
    <row r="48" spans="1:9" ht="12.75" hidden="1">
      <c r="A48" s="6"/>
      <c r="B48" s="29">
        <v>2630</v>
      </c>
      <c r="C48" s="30" t="s">
        <v>68</v>
      </c>
      <c r="D48" s="34">
        <f>'2019-3 СВОД'!D790</f>
        <v>0</v>
      </c>
      <c r="E48" s="34">
        <f>'2019-3 СВОД'!E790</f>
        <v>0</v>
      </c>
      <c r="F48" s="34">
        <f>'2019-3 СВОД'!F790</f>
        <v>0</v>
      </c>
      <c r="G48" s="34">
        <f>'2019-3 СВОД'!G790</f>
        <v>0</v>
      </c>
      <c r="H48" s="402"/>
      <c r="I48" s="402"/>
    </row>
    <row r="49" spans="1:9" ht="12.75" customHeight="1" hidden="1">
      <c r="A49" s="6"/>
      <c r="B49" s="27">
        <v>2700</v>
      </c>
      <c r="C49" s="28" t="s">
        <v>69</v>
      </c>
      <c r="D49" s="33">
        <f>D50+D51+D52</f>
        <v>0</v>
      </c>
      <c r="E49" s="33">
        <f>E50+E51+E52</f>
        <v>0</v>
      </c>
      <c r="F49" s="33">
        <f>F50+F51+F52</f>
        <v>0</v>
      </c>
      <c r="G49" s="33">
        <f>G50+G51+G52</f>
        <v>0</v>
      </c>
      <c r="H49" s="402"/>
      <c r="I49" s="402"/>
    </row>
    <row r="50" spans="1:9" ht="12.75" customHeight="1" hidden="1">
      <c r="A50" s="6"/>
      <c r="B50" s="29">
        <v>2710</v>
      </c>
      <c r="C50" s="30" t="s">
        <v>70</v>
      </c>
      <c r="D50" s="34">
        <f>'2019-3 СВОД'!D792</f>
        <v>0</v>
      </c>
      <c r="E50" s="34">
        <f>'2019-3 СВОД'!E792</f>
        <v>0</v>
      </c>
      <c r="F50" s="34">
        <f>'2019-3 СВОД'!F792</f>
        <v>0</v>
      </c>
      <c r="G50" s="34">
        <f>'2019-3 СВОД'!G792</f>
        <v>0</v>
      </c>
      <c r="H50" s="402"/>
      <c r="I50" s="402"/>
    </row>
    <row r="51" spans="1:9" ht="12.75" customHeight="1" hidden="1">
      <c r="A51" s="6"/>
      <c r="B51" s="29">
        <v>2720</v>
      </c>
      <c r="C51" s="30" t="s">
        <v>71</v>
      </c>
      <c r="D51" s="34">
        <f>'2019-3 СВОД'!D793</f>
        <v>0</v>
      </c>
      <c r="E51" s="34">
        <f>'2019-3 СВОД'!E793</f>
        <v>0</v>
      </c>
      <c r="F51" s="34">
        <f>'2019-3 СВОД'!F793</f>
        <v>0</v>
      </c>
      <c r="G51" s="34">
        <f>'2019-3 СВОД'!G793</f>
        <v>0</v>
      </c>
      <c r="H51" s="402"/>
      <c r="I51" s="402"/>
    </row>
    <row r="52" spans="1:9" ht="12.75" customHeight="1" hidden="1">
      <c r="A52" s="6"/>
      <c r="B52" s="29">
        <v>2730</v>
      </c>
      <c r="C52" s="30" t="s">
        <v>72</v>
      </c>
      <c r="D52" s="34">
        <f>'2019-3 СВОД'!D794</f>
        <v>0</v>
      </c>
      <c r="E52" s="34">
        <f>'2019-3 СВОД'!E794</f>
        <v>0</v>
      </c>
      <c r="F52" s="34">
        <f>'2019-3 СВОД'!F794</f>
        <v>0</v>
      </c>
      <c r="G52" s="34">
        <f>'2019-3 СВОД'!G794</f>
        <v>0</v>
      </c>
      <c r="H52" s="402"/>
      <c r="I52" s="402"/>
    </row>
    <row r="53" spans="1:9" ht="12.75" customHeight="1" hidden="1">
      <c r="A53" s="6"/>
      <c r="B53" s="27">
        <v>2800</v>
      </c>
      <c r="C53" s="28" t="s">
        <v>73</v>
      </c>
      <c r="D53" s="34">
        <f>'2019-3 СВОД'!D795</f>
        <v>0</v>
      </c>
      <c r="E53" s="34">
        <f>'2019-3 СВОД'!E795</f>
        <v>0</v>
      </c>
      <c r="F53" s="34">
        <f>'2019-3 СВОД'!F795</f>
        <v>0</v>
      </c>
      <c r="G53" s="34">
        <f>'2019-3 СВОД'!G795</f>
        <v>0</v>
      </c>
      <c r="H53" s="402"/>
      <c r="I53" s="402"/>
    </row>
    <row r="54" spans="1:9" ht="12.75" hidden="1">
      <c r="A54" s="21"/>
      <c r="B54" s="27">
        <v>3000</v>
      </c>
      <c r="C54" s="28" t="s">
        <v>40</v>
      </c>
      <c r="D54" s="40">
        <f>D55+D69</f>
        <v>0</v>
      </c>
      <c r="E54" s="40">
        <f>E55+E69</f>
        <v>0</v>
      </c>
      <c r="F54" s="40">
        <f>F55+F69</f>
        <v>0</v>
      </c>
      <c r="G54" s="40">
        <f>G55+G69</f>
        <v>0</v>
      </c>
      <c r="H54" s="402"/>
      <c r="I54" s="402"/>
    </row>
    <row r="55" spans="1:9" ht="12.75" hidden="1">
      <c r="A55" s="21"/>
      <c r="B55" s="27">
        <v>3100</v>
      </c>
      <c r="C55" s="28" t="s">
        <v>41</v>
      </c>
      <c r="D55" s="40">
        <f>D56+D57+D60+D63+D67+D68+D69</f>
        <v>0</v>
      </c>
      <c r="E55" s="40">
        <f>E56+E57+E60+E63+E67+E68+E69</f>
        <v>0</v>
      </c>
      <c r="F55" s="40">
        <f>F56+F57+F60+F63+F67+F68+F69</f>
        <v>0</v>
      </c>
      <c r="G55" s="40">
        <f>G56+G57+G60+G63+G67+G68+G69</f>
        <v>0</v>
      </c>
      <c r="H55" s="402"/>
      <c r="I55" s="402"/>
    </row>
    <row r="56" spans="1:9" ht="12.75" hidden="1">
      <c r="A56" s="21"/>
      <c r="B56" s="29">
        <v>3110</v>
      </c>
      <c r="C56" s="30" t="s">
        <v>74</v>
      </c>
      <c r="D56" s="34"/>
      <c r="E56" s="34"/>
      <c r="F56" s="34"/>
      <c r="G56" s="34"/>
      <c r="H56" s="402"/>
      <c r="I56" s="402"/>
    </row>
    <row r="57" spans="1:9" ht="12.75" hidden="1">
      <c r="A57" s="21"/>
      <c r="B57" s="29">
        <v>3120</v>
      </c>
      <c r="C57" s="30" t="s">
        <v>75</v>
      </c>
      <c r="D57" s="40">
        <f>D58+D59</f>
        <v>0</v>
      </c>
      <c r="E57" s="40">
        <f>E58+E59</f>
        <v>0</v>
      </c>
      <c r="F57" s="40">
        <f>F58+F59</f>
        <v>0</v>
      </c>
      <c r="G57" s="40">
        <f>G58+G59</f>
        <v>0</v>
      </c>
      <c r="H57" s="402"/>
      <c r="I57" s="402"/>
    </row>
    <row r="58" spans="1:9" ht="12.75" hidden="1">
      <c r="A58" s="21"/>
      <c r="B58" s="29">
        <v>3121</v>
      </c>
      <c r="C58" s="30" t="s">
        <v>76</v>
      </c>
      <c r="D58" s="34"/>
      <c r="E58" s="34"/>
      <c r="F58" s="34"/>
      <c r="G58" s="34"/>
      <c r="H58" s="402"/>
      <c r="I58" s="402"/>
    </row>
    <row r="59" spans="1:9" ht="12.75" hidden="1">
      <c r="A59" s="21"/>
      <c r="B59" s="29">
        <v>3122</v>
      </c>
      <c r="C59" s="30" t="s">
        <v>77</v>
      </c>
      <c r="D59" s="34"/>
      <c r="E59" s="34"/>
      <c r="F59" s="34"/>
      <c r="G59" s="34"/>
      <c r="H59" s="402"/>
      <c r="I59" s="402"/>
    </row>
    <row r="60" spans="1:9" ht="12.75" hidden="1">
      <c r="A60" s="21"/>
      <c r="B60" s="29">
        <v>3130</v>
      </c>
      <c r="C60" s="30" t="s">
        <v>78</v>
      </c>
      <c r="D60" s="40">
        <f>D61+D62</f>
        <v>0</v>
      </c>
      <c r="E60" s="40">
        <f>E61+E62</f>
        <v>0</v>
      </c>
      <c r="F60" s="40">
        <f>F61+F62</f>
        <v>0</v>
      </c>
      <c r="G60" s="40">
        <f>G61+G62</f>
        <v>0</v>
      </c>
      <c r="H60" s="402"/>
      <c r="I60" s="402"/>
    </row>
    <row r="61" spans="1:9" ht="12.75" hidden="1">
      <c r="A61" s="21"/>
      <c r="B61" s="29">
        <v>3131</v>
      </c>
      <c r="C61" s="30" t="s">
        <v>79</v>
      </c>
      <c r="D61" s="34"/>
      <c r="E61" s="34"/>
      <c r="F61" s="34"/>
      <c r="G61" s="34"/>
      <c r="H61" s="402"/>
      <c r="I61" s="402"/>
    </row>
    <row r="62" spans="1:9" ht="12.75" hidden="1">
      <c r="A62" s="21"/>
      <c r="B62" s="29">
        <v>3132</v>
      </c>
      <c r="C62" s="30" t="s">
        <v>80</v>
      </c>
      <c r="D62" s="34"/>
      <c r="E62" s="34"/>
      <c r="F62" s="34"/>
      <c r="G62" s="34"/>
      <c r="H62" s="402"/>
      <c r="I62" s="402"/>
    </row>
    <row r="63" spans="1:9" ht="12.75" hidden="1">
      <c r="A63" s="21"/>
      <c r="B63" s="29">
        <v>3140</v>
      </c>
      <c r="C63" s="30" t="s">
        <v>81</v>
      </c>
      <c r="D63" s="40">
        <f>D64+D65+D66</f>
        <v>0</v>
      </c>
      <c r="E63" s="40">
        <f>E64+E65+E66</f>
        <v>0</v>
      </c>
      <c r="F63" s="40">
        <f>F64+F65+F66</f>
        <v>0</v>
      </c>
      <c r="G63" s="40">
        <f>G64+G65+G66</f>
        <v>0</v>
      </c>
      <c r="H63" s="402"/>
      <c r="I63" s="402"/>
    </row>
    <row r="64" spans="1:9" ht="12.75" hidden="1">
      <c r="A64" s="21"/>
      <c r="B64" s="29">
        <v>3141</v>
      </c>
      <c r="C64" s="30" t="s">
        <v>82</v>
      </c>
      <c r="D64" s="34"/>
      <c r="E64" s="34"/>
      <c r="F64" s="34"/>
      <c r="G64" s="34"/>
      <c r="H64" s="402"/>
      <c r="I64" s="402"/>
    </row>
    <row r="65" spans="1:9" ht="12.75" hidden="1">
      <c r="A65" s="21"/>
      <c r="B65" s="29">
        <v>3142</v>
      </c>
      <c r="C65" s="30" t="s">
        <v>83</v>
      </c>
      <c r="D65" s="34"/>
      <c r="E65" s="34"/>
      <c r="F65" s="34"/>
      <c r="G65" s="34"/>
      <c r="H65" s="402"/>
      <c r="I65" s="402"/>
    </row>
    <row r="66" spans="1:9" ht="12.75" hidden="1">
      <c r="A66" s="21"/>
      <c r="B66" s="29">
        <v>3143</v>
      </c>
      <c r="C66" s="30" t="s">
        <v>84</v>
      </c>
      <c r="D66" s="34"/>
      <c r="E66" s="34"/>
      <c r="F66" s="34"/>
      <c r="G66" s="34"/>
      <c r="H66" s="402"/>
      <c r="I66" s="402"/>
    </row>
    <row r="67" spans="1:9" ht="12.75" hidden="1">
      <c r="A67" s="21"/>
      <c r="B67" s="29">
        <v>3150</v>
      </c>
      <c r="C67" s="30" t="s">
        <v>85</v>
      </c>
      <c r="D67" s="34"/>
      <c r="E67" s="34"/>
      <c r="F67" s="34"/>
      <c r="G67" s="34"/>
      <c r="H67" s="402"/>
      <c r="I67" s="402"/>
    </row>
    <row r="68" spans="1:9" ht="12.75" hidden="1">
      <c r="A68" s="21"/>
      <c r="B68" s="29">
        <v>3160</v>
      </c>
      <c r="C68" s="30" t="s">
        <v>86</v>
      </c>
      <c r="D68" s="34"/>
      <c r="E68" s="34"/>
      <c r="F68" s="34"/>
      <c r="G68" s="34"/>
      <c r="H68" s="402"/>
      <c r="I68" s="402"/>
    </row>
    <row r="69" spans="1:9" ht="12.75" hidden="1">
      <c r="A69" s="21"/>
      <c r="B69" s="27">
        <v>3200</v>
      </c>
      <c r="C69" s="28" t="s">
        <v>87</v>
      </c>
      <c r="D69" s="40">
        <f>D70+D71+D72+D73</f>
        <v>0</v>
      </c>
      <c r="E69" s="40">
        <f>E70+E71+E72+E73</f>
        <v>0</v>
      </c>
      <c r="F69" s="40">
        <f>F70+F71+F72+F73</f>
        <v>0</v>
      </c>
      <c r="G69" s="40">
        <f>G70+G71+G72+G73</f>
        <v>0</v>
      </c>
      <c r="H69" s="402"/>
      <c r="I69" s="402"/>
    </row>
    <row r="70" spans="1:9" ht="12.75" hidden="1">
      <c r="A70" s="21"/>
      <c r="B70" s="29">
        <v>3210</v>
      </c>
      <c r="C70" s="30" t="s">
        <v>88</v>
      </c>
      <c r="D70" s="34"/>
      <c r="E70" s="34"/>
      <c r="F70" s="34"/>
      <c r="G70" s="34"/>
      <c r="H70" s="402"/>
      <c r="I70" s="402"/>
    </row>
    <row r="71" spans="1:9" ht="12.75" hidden="1">
      <c r="A71" s="21"/>
      <c r="B71" s="29">
        <v>3220</v>
      </c>
      <c r="C71" s="30" t="s">
        <v>89</v>
      </c>
      <c r="D71" s="34"/>
      <c r="E71" s="34"/>
      <c r="F71" s="34"/>
      <c r="G71" s="34"/>
      <c r="H71" s="402"/>
      <c r="I71" s="402"/>
    </row>
    <row r="72" spans="1:9" ht="12.75" hidden="1">
      <c r="A72" s="21"/>
      <c r="B72" s="29">
        <v>3230</v>
      </c>
      <c r="C72" s="30" t="s">
        <v>90</v>
      </c>
      <c r="D72" s="34"/>
      <c r="E72" s="34"/>
      <c r="F72" s="34"/>
      <c r="G72" s="34"/>
      <c r="H72" s="402"/>
      <c r="I72" s="402"/>
    </row>
    <row r="73" spans="1:9" ht="13.5" customHeight="1" hidden="1">
      <c r="A73" s="21"/>
      <c r="B73" s="29">
        <v>3240</v>
      </c>
      <c r="C73" s="30" t="s">
        <v>91</v>
      </c>
      <c r="D73" s="34"/>
      <c r="E73" s="34"/>
      <c r="F73" s="34"/>
      <c r="G73" s="34"/>
      <c r="H73" s="402"/>
      <c r="I73" s="402"/>
    </row>
    <row r="74" spans="1:9" s="19" customFormat="1" ht="13.5" customHeight="1">
      <c r="A74" s="7"/>
      <c r="B74" s="7"/>
      <c r="C74" s="20" t="s">
        <v>3</v>
      </c>
      <c r="D74" s="34">
        <f>D19+D54</f>
        <v>18868.1</v>
      </c>
      <c r="E74" s="34">
        <f>E19+E54</f>
        <v>20369.4</v>
      </c>
      <c r="F74" s="34">
        <f>F19+F54</f>
        <v>22193.699999999997</v>
      </c>
      <c r="G74" s="34">
        <f>G19+G54</f>
        <v>0</v>
      </c>
      <c r="H74" s="402"/>
      <c r="I74" s="402"/>
    </row>
    <row r="75" spans="1:9" s="156" customFormat="1" ht="26.25">
      <c r="A75" s="154"/>
      <c r="B75" s="154">
        <f>'2019-3 СВОД'!B797</f>
        <v>1115012</v>
      </c>
      <c r="C75" s="154" t="str">
        <f>'2019-3 СВОД'!C797</f>
        <v>Підпрограма Проведення навчально-тренувальних зборів і змагань з неолімпійських видів спорту</v>
      </c>
      <c r="D75" s="170">
        <f>D76+D111</f>
        <v>4414.34</v>
      </c>
      <c r="E75" s="170">
        <f>E76+E111</f>
        <v>5957.5</v>
      </c>
      <c r="F75" s="170">
        <f>F76+F111</f>
        <v>5974.5</v>
      </c>
      <c r="G75" s="170">
        <f>G76+G111</f>
        <v>0</v>
      </c>
      <c r="H75" s="464"/>
      <c r="I75" s="465"/>
    </row>
    <row r="76" spans="1:9" ht="12.75">
      <c r="A76" s="6"/>
      <c r="B76" s="27">
        <v>2000</v>
      </c>
      <c r="C76" s="28" t="s">
        <v>37</v>
      </c>
      <c r="D76" s="33">
        <f>D77+D82+D99+D102+D106+D110</f>
        <v>4414.34</v>
      </c>
      <c r="E76" s="33">
        <f>E77+E82+E99+E102+E106+E110</f>
        <v>5957.5</v>
      </c>
      <c r="F76" s="33">
        <f>F77+F82+F99+F102+F106+F110</f>
        <v>5974.5</v>
      </c>
      <c r="G76" s="33">
        <f>G77+G82+G99+G102+G106+G110</f>
        <v>0</v>
      </c>
      <c r="H76" s="402"/>
      <c r="I76" s="402"/>
    </row>
    <row r="77" spans="1:9" ht="12.75" customHeight="1" hidden="1">
      <c r="A77" s="6"/>
      <c r="B77" s="29">
        <v>2100</v>
      </c>
      <c r="C77" s="30" t="s">
        <v>38</v>
      </c>
      <c r="D77" s="35">
        <f>D78+D81</f>
        <v>0</v>
      </c>
      <c r="E77" s="35">
        <f>E78+E81</f>
        <v>0</v>
      </c>
      <c r="F77" s="35">
        <f>F78+F81</f>
        <v>0</v>
      </c>
      <c r="G77" s="35">
        <f>G78+G81</f>
        <v>0</v>
      </c>
      <c r="H77" s="402"/>
      <c r="I77" s="402"/>
    </row>
    <row r="78" spans="1:9" ht="12.75" customHeight="1" hidden="1">
      <c r="A78" s="6"/>
      <c r="B78" s="29">
        <v>2110</v>
      </c>
      <c r="C78" s="30" t="s">
        <v>39</v>
      </c>
      <c r="D78" s="35">
        <f>D79+D80</f>
        <v>0</v>
      </c>
      <c r="E78" s="35">
        <f>E79+E80</f>
        <v>0</v>
      </c>
      <c r="F78" s="35">
        <f>F79+F80</f>
        <v>0</v>
      </c>
      <c r="G78" s="35">
        <f>G79+G80</f>
        <v>0</v>
      </c>
      <c r="H78" s="402"/>
      <c r="I78" s="402"/>
    </row>
    <row r="79" spans="1:9" ht="12.75" customHeight="1" hidden="1">
      <c r="A79" s="6"/>
      <c r="B79" s="29">
        <v>2111</v>
      </c>
      <c r="C79" s="30" t="s">
        <v>42</v>
      </c>
      <c r="D79" s="34">
        <f>'2019-3 СВОД'!D801</f>
        <v>0</v>
      </c>
      <c r="E79" s="34">
        <f>'2019-3 СВОД'!E801</f>
        <v>0</v>
      </c>
      <c r="F79" s="34">
        <f>'2019-3 СВОД'!F801</f>
        <v>0</v>
      </c>
      <c r="G79" s="34">
        <f>'2019-3 СВОД'!G801</f>
        <v>0</v>
      </c>
      <c r="H79" s="402"/>
      <c r="I79" s="402"/>
    </row>
    <row r="80" spans="1:9" ht="12.75" customHeight="1" hidden="1">
      <c r="A80" s="6"/>
      <c r="B80" s="29">
        <v>2112</v>
      </c>
      <c r="C80" s="30" t="s">
        <v>43</v>
      </c>
      <c r="D80" s="34">
        <f>'2019-3 СВОД'!D802</f>
        <v>0</v>
      </c>
      <c r="E80" s="34">
        <f>'2019-3 СВОД'!E802</f>
        <v>0</v>
      </c>
      <c r="F80" s="34">
        <f>'2019-3 СВОД'!F802</f>
        <v>0</v>
      </c>
      <c r="G80" s="34">
        <f>'2019-3 СВОД'!G802</f>
        <v>0</v>
      </c>
      <c r="H80" s="402"/>
      <c r="I80" s="402"/>
    </row>
    <row r="81" spans="1:9" ht="12.75" customHeight="1" hidden="1">
      <c r="A81" s="6"/>
      <c r="B81" s="29">
        <v>2120</v>
      </c>
      <c r="C81" s="30" t="s">
        <v>44</v>
      </c>
      <c r="D81" s="34">
        <f>'2019-3 СВОД'!D803</f>
        <v>0</v>
      </c>
      <c r="E81" s="34">
        <f>'2019-3 СВОД'!E803</f>
        <v>0</v>
      </c>
      <c r="F81" s="34">
        <f>'2019-3 СВОД'!F803</f>
        <v>0</v>
      </c>
      <c r="G81" s="34">
        <f>'2019-3 СВОД'!G803</f>
        <v>0</v>
      </c>
      <c r="H81" s="402"/>
      <c r="I81" s="402"/>
    </row>
    <row r="82" spans="1:9" ht="12.75" customHeight="1">
      <c r="A82" s="6"/>
      <c r="B82" s="27">
        <v>2200</v>
      </c>
      <c r="C82" s="28" t="s">
        <v>45</v>
      </c>
      <c r="D82" s="33">
        <f>SUM(D83:D89)+D96</f>
        <v>4414.34</v>
      </c>
      <c r="E82" s="33">
        <f>SUM(E83:E89)+E96</f>
        <v>5957.5</v>
      </c>
      <c r="F82" s="33">
        <f>SUM(F83:F89)+F96</f>
        <v>5974.5</v>
      </c>
      <c r="G82" s="33">
        <f>SUM(G83:G89)+G96</f>
        <v>0</v>
      </c>
      <c r="H82" s="402"/>
      <c r="I82" s="402"/>
    </row>
    <row r="83" spans="1:9" ht="12.75">
      <c r="A83" s="6"/>
      <c r="B83" s="29">
        <v>2210</v>
      </c>
      <c r="C83" s="30" t="s">
        <v>46</v>
      </c>
      <c r="D83" s="34">
        <f>'2019-3 СВОД'!D805</f>
        <v>65.04</v>
      </c>
      <c r="E83" s="34">
        <f>'2019-3 СВОД'!E805</f>
        <v>116</v>
      </c>
      <c r="F83" s="34">
        <f>'2019-3 СВОД'!F805</f>
        <v>124.1</v>
      </c>
      <c r="G83" s="34">
        <f>'2019-3 СВОД'!G805</f>
        <v>0</v>
      </c>
      <c r="H83" s="402"/>
      <c r="I83" s="402"/>
    </row>
    <row r="84" spans="1:9" ht="12.75" customHeight="1" hidden="1">
      <c r="A84" s="6"/>
      <c r="B84" s="29">
        <v>2220</v>
      </c>
      <c r="C84" s="30" t="s">
        <v>47</v>
      </c>
      <c r="D84" s="34">
        <f>'2019-3 СВОД'!D806</f>
        <v>0</v>
      </c>
      <c r="E84" s="34">
        <f>'2019-3 СВОД'!E806</f>
        <v>0</v>
      </c>
      <c r="F84" s="34">
        <f>'2019-3 СВОД'!F806</f>
        <v>0</v>
      </c>
      <c r="G84" s="34">
        <f>'2019-3 СВОД'!G806</f>
        <v>0</v>
      </c>
      <c r="H84" s="402"/>
      <c r="I84" s="402"/>
    </row>
    <row r="85" spans="1:9" ht="12.75" customHeight="1" hidden="1">
      <c r="A85" s="6"/>
      <c r="B85" s="29">
        <v>2230</v>
      </c>
      <c r="C85" s="30" t="s">
        <v>48</v>
      </c>
      <c r="D85" s="34">
        <f>'2019-3 СВОД'!D807</f>
        <v>0</v>
      </c>
      <c r="E85" s="34">
        <f>'2019-3 СВОД'!E807</f>
        <v>0</v>
      </c>
      <c r="F85" s="34">
        <f>'2019-3 СВОД'!F807</f>
        <v>0</v>
      </c>
      <c r="G85" s="34">
        <f>'2019-3 СВОД'!G807</f>
        <v>0</v>
      </c>
      <c r="H85" s="402"/>
      <c r="I85" s="402"/>
    </row>
    <row r="86" spans="1:9" ht="12.75" customHeight="1">
      <c r="A86" s="6"/>
      <c r="B86" s="29">
        <v>2240</v>
      </c>
      <c r="C86" s="30" t="s">
        <v>49</v>
      </c>
      <c r="D86" s="34">
        <f>'2019-3 СВОД'!D808</f>
        <v>3504.9</v>
      </c>
      <c r="E86" s="34">
        <f>'2019-3 СВОД'!E808</f>
        <v>4581.3</v>
      </c>
      <c r="F86" s="34">
        <f>'2019-3 СВОД'!F808</f>
        <v>4802</v>
      </c>
      <c r="G86" s="34">
        <f>'2019-3 СВОД'!G808</f>
        <v>0</v>
      </c>
      <c r="H86" s="402"/>
      <c r="I86" s="402"/>
    </row>
    <row r="87" spans="1:9" ht="12.75" customHeight="1">
      <c r="A87" s="6"/>
      <c r="B87" s="29">
        <v>2250</v>
      </c>
      <c r="C87" s="30" t="s">
        <v>50</v>
      </c>
      <c r="D87" s="34">
        <f>'2019-3 СВОД'!D809</f>
        <v>844.4</v>
      </c>
      <c r="E87" s="34">
        <f>'2019-3 СВОД'!E809</f>
        <v>1260.2</v>
      </c>
      <c r="F87" s="34">
        <f>'2019-3 СВОД'!F809</f>
        <v>1048.4</v>
      </c>
      <c r="G87" s="34">
        <f>'2019-3 СВОД'!G809</f>
        <v>0</v>
      </c>
      <c r="H87" s="402"/>
      <c r="I87" s="402"/>
    </row>
    <row r="88" spans="1:9" ht="12.75" customHeight="1" hidden="1">
      <c r="A88" s="6"/>
      <c r="B88" s="29">
        <v>2260</v>
      </c>
      <c r="C88" s="30" t="s">
        <v>51</v>
      </c>
      <c r="D88" s="34">
        <f>'2019-3 СВОД'!D810</f>
        <v>0</v>
      </c>
      <c r="E88" s="34">
        <f>'2019-3 СВОД'!E810</f>
        <v>0</v>
      </c>
      <c r="F88" s="34">
        <f>'2019-3 СВОД'!F810</f>
        <v>0</v>
      </c>
      <c r="G88" s="34">
        <f>'2019-3 СВОД'!G810</f>
        <v>0</v>
      </c>
      <c r="H88" s="402"/>
      <c r="I88" s="402"/>
    </row>
    <row r="89" spans="1:9" ht="12.75" customHeight="1" hidden="1">
      <c r="A89" s="6"/>
      <c r="B89" s="27">
        <v>2270</v>
      </c>
      <c r="C89" s="28" t="s">
        <v>52</v>
      </c>
      <c r="D89" s="33">
        <f>D90+D91+D92+D93+D94+D95</f>
        <v>0</v>
      </c>
      <c r="E89" s="33">
        <f>E90+E91+E92+E93+E94+E95</f>
        <v>0</v>
      </c>
      <c r="F89" s="33">
        <f>F90+F91+F92+F93+F94+F95</f>
        <v>0</v>
      </c>
      <c r="G89" s="33">
        <f>G90+G91+G92+G93+G94+G95</f>
        <v>0</v>
      </c>
      <c r="H89" s="402"/>
      <c r="I89" s="402"/>
    </row>
    <row r="90" spans="1:9" ht="12.75" customHeight="1" hidden="1">
      <c r="A90" s="6"/>
      <c r="B90" s="29">
        <v>2271</v>
      </c>
      <c r="C90" s="30" t="s">
        <v>53</v>
      </c>
      <c r="D90" s="34">
        <f>'2019-3 СВОД'!D812</f>
        <v>0</v>
      </c>
      <c r="E90" s="34">
        <f>'2019-3 СВОД'!E812</f>
        <v>0</v>
      </c>
      <c r="F90" s="34">
        <f>'2019-3 СВОД'!F812</f>
        <v>0</v>
      </c>
      <c r="G90" s="34">
        <f>'2019-3 СВОД'!G812</f>
        <v>0</v>
      </c>
      <c r="H90" s="402"/>
      <c r="I90" s="402"/>
    </row>
    <row r="91" spans="1:9" ht="12.75" customHeight="1" hidden="1">
      <c r="A91" s="6"/>
      <c r="B91" s="29">
        <v>2272</v>
      </c>
      <c r="C91" s="30" t="s">
        <v>54</v>
      </c>
      <c r="D91" s="34">
        <f>'2019-3 СВОД'!D813</f>
        <v>0</v>
      </c>
      <c r="E91" s="34">
        <f>'2019-3 СВОД'!E813</f>
        <v>0</v>
      </c>
      <c r="F91" s="34">
        <f>'2019-3 СВОД'!F813</f>
        <v>0</v>
      </c>
      <c r="G91" s="34">
        <f>'2019-3 СВОД'!G813</f>
        <v>0</v>
      </c>
      <c r="H91" s="402"/>
      <c r="I91" s="402"/>
    </row>
    <row r="92" spans="1:9" ht="12.75" customHeight="1" hidden="1">
      <c r="A92" s="6"/>
      <c r="B92" s="29">
        <v>2273</v>
      </c>
      <c r="C92" s="30" t="s">
        <v>55</v>
      </c>
      <c r="D92" s="34">
        <f>'2019-3 СВОД'!D814</f>
        <v>0</v>
      </c>
      <c r="E92" s="34">
        <f>'2019-3 СВОД'!E814</f>
        <v>0</v>
      </c>
      <c r="F92" s="34">
        <f>'2019-3 СВОД'!F814</f>
        <v>0</v>
      </c>
      <c r="G92" s="34">
        <f>'2019-3 СВОД'!G814</f>
        <v>0</v>
      </c>
      <c r="H92" s="402"/>
      <c r="I92" s="402"/>
    </row>
    <row r="93" spans="1:9" ht="12.75" customHeight="1" hidden="1">
      <c r="A93" s="6"/>
      <c r="B93" s="29">
        <v>2274</v>
      </c>
      <c r="C93" s="30" t="s">
        <v>56</v>
      </c>
      <c r="D93" s="34">
        <f>'2019-3 СВОД'!D815</f>
        <v>0</v>
      </c>
      <c r="E93" s="34">
        <f>'2019-3 СВОД'!E815</f>
        <v>0</v>
      </c>
      <c r="F93" s="34">
        <f>'2019-3 СВОД'!F815</f>
        <v>0</v>
      </c>
      <c r="G93" s="34">
        <f>'2019-3 СВОД'!G815</f>
        <v>0</v>
      </c>
      <c r="H93" s="402"/>
      <c r="I93" s="402"/>
    </row>
    <row r="94" spans="1:9" ht="12.75" customHeight="1" hidden="1">
      <c r="A94" s="6"/>
      <c r="B94" s="29">
        <v>2275</v>
      </c>
      <c r="C94" s="30" t="s">
        <v>57</v>
      </c>
      <c r="D94" s="34">
        <f>'2019-3 СВОД'!D816</f>
        <v>0</v>
      </c>
      <c r="E94" s="34">
        <f>'2019-3 СВОД'!E816</f>
        <v>0</v>
      </c>
      <c r="F94" s="34">
        <f>'2019-3 СВОД'!F816</f>
        <v>0</v>
      </c>
      <c r="G94" s="34">
        <f>'2019-3 СВОД'!G816</f>
        <v>0</v>
      </c>
      <c r="H94" s="402"/>
      <c r="I94" s="402"/>
    </row>
    <row r="95" spans="1:9" ht="12.75" customHeight="1" hidden="1">
      <c r="A95" s="6"/>
      <c r="B95" s="31">
        <v>2276</v>
      </c>
      <c r="C95" s="32" t="s">
        <v>58</v>
      </c>
      <c r="D95" s="34">
        <f>'2019-3 СВОД'!D817</f>
        <v>0</v>
      </c>
      <c r="E95" s="34">
        <f>'2019-3 СВОД'!E817</f>
        <v>0</v>
      </c>
      <c r="F95" s="34">
        <f>'2019-3 СВОД'!F817</f>
        <v>0</v>
      </c>
      <c r="G95" s="34">
        <f>'2019-3 СВОД'!G817</f>
        <v>0</v>
      </c>
      <c r="H95" s="402"/>
      <c r="I95" s="402"/>
    </row>
    <row r="96" spans="1:9" ht="12.75" hidden="1">
      <c r="A96" s="6"/>
      <c r="B96" s="27">
        <v>2280</v>
      </c>
      <c r="C96" s="28" t="s">
        <v>59</v>
      </c>
      <c r="D96" s="33">
        <f>D97+D98</f>
        <v>0</v>
      </c>
      <c r="E96" s="33">
        <f>E97+E98</f>
        <v>0</v>
      </c>
      <c r="F96" s="33">
        <f>F97+F98</f>
        <v>0</v>
      </c>
      <c r="G96" s="33">
        <f>G97+G98</f>
        <v>0</v>
      </c>
      <c r="H96" s="402"/>
      <c r="I96" s="402"/>
    </row>
    <row r="97" spans="1:9" ht="12.75" hidden="1">
      <c r="A97" s="6"/>
      <c r="B97" s="29">
        <v>2281</v>
      </c>
      <c r="C97" s="30" t="s">
        <v>60</v>
      </c>
      <c r="D97" s="34">
        <f>'2019-3 СВОД'!D819</f>
        <v>0</v>
      </c>
      <c r="E97" s="34">
        <f>'2019-3 СВОД'!E819</f>
        <v>0</v>
      </c>
      <c r="F97" s="34">
        <f>'2019-3 СВОД'!F819</f>
        <v>0</v>
      </c>
      <c r="G97" s="34">
        <f>'2019-3 СВОД'!G819</f>
        <v>0</v>
      </c>
      <c r="H97" s="402"/>
      <c r="I97" s="402"/>
    </row>
    <row r="98" spans="1:9" ht="12.75" hidden="1">
      <c r="A98" s="6"/>
      <c r="B98" s="29">
        <v>2282</v>
      </c>
      <c r="C98" s="30" t="s">
        <v>61</v>
      </c>
      <c r="D98" s="34">
        <f>'2019-3 СВОД'!D820</f>
        <v>0</v>
      </c>
      <c r="E98" s="34">
        <f>'2019-3 СВОД'!E820</f>
        <v>0</v>
      </c>
      <c r="F98" s="34">
        <f>'2019-3 СВОД'!F820</f>
        <v>0</v>
      </c>
      <c r="G98" s="34">
        <f>'2019-3 СВОД'!G820</f>
        <v>0</v>
      </c>
      <c r="H98" s="402"/>
      <c r="I98" s="402"/>
    </row>
    <row r="99" spans="1:9" ht="12.75" customHeight="1" hidden="1">
      <c r="A99" s="6"/>
      <c r="B99" s="27">
        <v>2400</v>
      </c>
      <c r="C99" s="28" t="s">
        <v>62</v>
      </c>
      <c r="D99" s="34">
        <f>D100+D101</f>
        <v>0</v>
      </c>
      <c r="E99" s="34">
        <f>E100+E101</f>
        <v>0</v>
      </c>
      <c r="F99" s="34">
        <f>F100+F101</f>
        <v>0</v>
      </c>
      <c r="G99" s="34">
        <f>G100+G101</f>
        <v>0</v>
      </c>
      <c r="H99" s="402"/>
      <c r="I99" s="402"/>
    </row>
    <row r="100" spans="1:9" ht="12.75" customHeight="1" hidden="1">
      <c r="A100" s="6"/>
      <c r="B100" s="29">
        <v>2410</v>
      </c>
      <c r="C100" s="30" t="s">
        <v>63</v>
      </c>
      <c r="D100" s="34">
        <f>'2019-3 СВОД'!D822</f>
        <v>0</v>
      </c>
      <c r="E100" s="34">
        <f>'2019-3 СВОД'!E822</f>
        <v>0</v>
      </c>
      <c r="F100" s="34">
        <f>'2019-3 СВОД'!F822</f>
        <v>0</v>
      </c>
      <c r="G100" s="34">
        <f>'2019-3 СВОД'!G822</f>
        <v>0</v>
      </c>
      <c r="H100" s="402"/>
      <c r="I100" s="402"/>
    </row>
    <row r="101" spans="1:9" ht="12.75" customHeight="1" hidden="1">
      <c r="A101" s="6"/>
      <c r="B101" s="29">
        <v>2420</v>
      </c>
      <c r="C101" s="30" t="s">
        <v>64</v>
      </c>
      <c r="D101" s="34">
        <f>'2019-3 СВОД'!D823</f>
        <v>0</v>
      </c>
      <c r="E101" s="34">
        <f>'2019-3 СВОД'!E823</f>
        <v>0</v>
      </c>
      <c r="F101" s="34">
        <f>'2019-3 СВОД'!F823</f>
        <v>0</v>
      </c>
      <c r="G101" s="34">
        <f>'2019-3 СВОД'!G823</f>
        <v>0</v>
      </c>
      <c r="H101" s="402"/>
      <c r="I101" s="402"/>
    </row>
    <row r="102" spans="1:9" ht="12.75" customHeight="1" hidden="1">
      <c r="A102" s="6"/>
      <c r="B102" s="27">
        <v>2600</v>
      </c>
      <c r="C102" s="28" t="s">
        <v>65</v>
      </c>
      <c r="D102" s="33">
        <f>D103+D104+D105</f>
        <v>0</v>
      </c>
      <c r="E102" s="33">
        <f>E103+E104+E105</f>
        <v>0</v>
      </c>
      <c r="F102" s="33">
        <f>F103+F104+F105</f>
        <v>0</v>
      </c>
      <c r="G102" s="33">
        <f>G103+G104+G105</f>
        <v>0</v>
      </c>
      <c r="H102" s="402"/>
      <c r="I102" s="402"/>
    </row>
    <row r="103" spans="1:9" ht="12.75" hidden="1">
      <c r="A103" s="6"/>
      <c r="B103" s="29">
        <v>2610</v>
      </c>
      <c r="C103" s="30" t="s">
        <v>66</v>
      </c>
      <c r="D103" s="34">
        <f>'2019-3 СВОД'!D825</f>
        <v>0</v>
      </c>
      <c r="E103" s="34">
        <f>'2019-3 СВОД'!E825</f>
        <v>0</v>
      </c>
      <c r="F103" s="34">
        <f>'2019-3 СВОД'!F825</f>
        <v>0</v>
      </c>
      <c r="G103" s="34">
        <f>'2019-3 СВОД'!G825</f>
        <v>0</v>
      </c>
      <c r="H103" s="402"/>
      <c r="I103" s="402"/>
    </row>
    <row r="104" spans="1:9" ht="12.75" customHeight="1" hidden="1">
      <c r="A104" s="6"/>
      <c r="B104" s="29">
        <v>2620</v>
      </c>
      <c r="C104" s="30" t="s">
        <v>67</v>
      </c>
      <c r="D104" s="34">
        <f>'2019-3 СВОД'!D826</f>
        <v>0</v>
      </c>
      <c r="E104" s="34">
        <f>'2019-3 СВОД'!E826</f>
        <v>0</v>
      </c>
      <c r="F104" s="34">
        <f>'2019-3 СВОД'!F826</f>
        <v>0</v>
      </c>
      <c r="G104" s="34">
        <f>'2019-3 СВОД'!G826</f>
        <v>0</v>
      </c>
      <c r="H104" s="402"/>
      <c r="I104" s="402"/>
    </row>
    <row r="105" spans="1:9" ht="12.75" hidden="1">
      <c r="A105" s="6"/>
      <c r="B105" s="29">
        <v>2630</v>
      </c>
      <c r="C105" s="30" t="s">
        <v>68</v>
      </c>
      <c r="D105" s="34">
        <f>'2019-3 СВОД'!D827</f>
        <v>0</v>
      </c>
      <c r="E105" s="34">
        <f>'2019-3 СВОД'!E827</f>
        <v>0</v>
      </c>
      <c r="F105" s="34">
        <f>'2019-3 СВОД'!F827</f>
        <v>0</v>
      </c>
      <c r="G105" s="34">
        <f>'2019-3 СВОД'!G827</f>
        <v>0</v>
      </c>
      <c r="H105" s="402"/>
      <c r="I105" s="402"/>
    </row>
    <row r="106" spans="1:9" ht="12.75" customHeight="1" hidden="1">
      <c r="A106" s="6"/>
      <c r="B106" s="27">
        <v>2700</v>
      </c>
      <c r="C106" s="28" t="s">
        <v>69</v>
      </c>
      <c r="D106" s="33">
        <f>D107+D108+D109</f>
        <v>0</v>
      </c>
      <c r="E106" s="33">
        <f>E107+E108+E109</f>
        <v>0</v>
      </c>
      <c r="F106" s="33">
        <f>F107+F108+F109</f>
        <v>0</v>
      </c>
      <c r="G106" s="33">
        <f>G107+G108+G109</f>
        <v>0</v>
      </c>
      <c r="H106" s="402"/>
      <c r="I106" s="402"/>
    </row>
    <row r="107" spans="1:9" ht="12.75" customHeight="1" hidden="1">
      <c r="A107" s="6"/>
      <c r="B107" s="29">
        <v>2710</v>
      </c>
      <c r="C107" s="30" t="s">
        <v>70</v>
      </c>
      <c r="D107" s="34">
        <f>'2019-3 СВОД'!D829</f>
        <v>0</v>
      </c>
      <c r="E107" s="34">
        <f>'2019-3 СВОД'!E829</f>
        <v>0</v>
      </c>
      <c r="F107" s="34">
        <f>'2019-3 СВОД'!F829</f>
        <v>0</v>
      </c>
      <c r="G107" s="34">
        <f>'2019-3 СВОД'!G829</f>
        <v>0</v>
      </c>
      <c r="H107" s="402"/>
      <c r="I107" s="402"/>
    </row>
    <row r="108" spans="1:9" ht="12.75" customHeight="1" hidden="1">
      <c r="A108" s="6"/>
      <c r="B108" s="29">
        <v>2720</v>
      </c>
      <c r="C108" s="30" t="s">
        <v>71</v>
      </c>
      <c r="D108" s="34">
        <f>'2019-3 СВОД'!D830</f>
        <v>0</v>
      </c>
      <c r="E108" s="34">
        <f>'2019-3 СВОД'!E830</f>
        <v>0</v>
      </c>
      <c r="F108" s="34">
        <f>'2019-3 СВОД'!F830</f>
        <v>0</v>
      </c>
      <c r="G108" s="34">
        <f>'2019-3 СВОД'!G830</f>
        <v>0</v>
      </c>
      <c r="H108" s="402"/>
      <c r="I108" s="402"/>
    </row>
    <row r="109" spans="1:9" ht="12.75" customHeight="1" hidden="1">
      <c r="A109" s="6"/>
      <c r="B109" s="29">
        <v>2730</v>
      </c>
      <c r="C109" s="30" t="s">
        <v>72</v>
      </c>
      <c r="D109" s="34">
        <f>'2019-3 СВОД'!D831</f>
        <v>0</v>
      </c>
      <c r="E109" s="34">
        <f>'2019-3 СВОД'!E831</f>
        <v>0</v>
      </c>
      <c r="F109" s="34">
        <f>'2019-3 СВОД'!F831</f>
        <v>0</v>
      </c>
      <c r="G109" s="34">
        <f>'2019-3 СВОД'!G831</f>
        <v>0</v>
      </c>
      <c r="H109" s="402"/>
      <c r="I109" s="402"/>
    </row>
    <row r="110" spans="1:9" ht="12.75" customHeight="1" hidden="1">
      <c r="A110" s="6"/>
      <c r="B110" s="27">
        <v>2800</v>
      </c>
      <c r="C110" s="28" t="s">
        <v>73</v>
      </c>
      <c r="D110" s="34">
        <f>'2019-3 СВОД'!D832</f>
        <v>0</v>
      </c>
      <c r="E110" s="34">
        <f>'2019-3 СВОД'!E832</f>
        <v>0</v>
      </c>
      <c r="F110" s="34">
        <f>'2019-3 СВОД'!F832</f>
        <v>0</v>
      </c>
      <c r="G110" s="34">
        <f>'2019-3 СВОД'!G832</f>
        <v>0</v>
      </c>
      <c r="H110" s="402"/>
      <c r="I110" s="402"/>
    </row>
    <row r="111" spans="1:9" ht="12.75" hidden="1">
      <c r="A111" s="21"/>
      <c r="B111" s="27">
        <v>3000</v>
      </c>
      <c r="C111" s="28" t="s">
        <v>40</v>
      </c>
      <c r="D111" s="40">
        <f>D112+D126</f>
        <v>0</v>
      </c>
      <c r="E111" s="40">
        <f>E112+E126</f>
        <v>0</v>
      </c>
      <c r="F111" s="40">
        <f>F112+F126</f>
        <v>0</v>
      </c>
      <c r="G111" s="40">
        <f>G112+G126</f>
        <v>0</v>
      </c>
      <c r="H111" s="402"/>
      <c r="I111" s="402"/>
    </row>
    <row r="112" spans="1:9" ht="12.75" hidden="1">
      <c r="A112" s="21"/>
      <c r="B112" s="27">
        <v>3100</v>
      </c>
      <c r="C112" s="28" t="s">
        <v>41</v>
      </c>
      <c r="D112" s="40">
        <f>D113+D114+D117+D120+D124+D125+D126</f>
        <v>0</v>
      </c>
      <c r="E112" s="40">
        <f>E113+E114+E117+E120+E124+E125+E126</f>
        <v>0</v>
      </c>
      <c r="F112" s="40">
        <f>F113+F114+F117+F120+F124+F125+F126</f>
        <v>0</v>
      </c>
      <c r="G112" s="40">
        <f>G113+G114+G117+G120+G124+G125+G126</f>
        <v>0</v>
      </c>
      <c r="H112" s="402"/>
      <c r="I112" s="402"/>
    </row>
    <row r="113" spans="1:9" ht="12.75" hidden="1">
      <c r="A113" s="21"/>
      <c r="B113" s="29">
        <v>3110</v>
      </c>
      <c r="C113" s="30" t="s">
        <v>74</v>
      </c>
      <c r="D113" s="34"/>
      <c r="E113" s="34"/>
      <c r="F113" s="34"/>
      <c r="G113" s="34"/>
      <c r="H113" s="402"/>
      <c r="I113" s="402"/>
    </row>
    <row r="114" spans="1:9" ht="12.75" hidden="1">
      <c r="A114" s="21"/>
      <c r="B114" s="29">
        <v>3120</v>
      </c>
      <c r="C114" s="30" t="s">
        <v>75</v>
      </c>
      <c r="D114" s="40">
        <f>D115+D116</f>
        <v>0</v>
      </c>
      <c r="E114" s="40">
        <f>E115+E116</f>
        <v>0</v>
      </c>
      <c r="F114" s="40">
        <f>F115+F116</f>
        <v>0</v>
      </c>
      <c r="G114" s="40">
        <f>G115+G116</f>
        <v>0</v>
      </c>
      <c r="H114" s="402"/>
      <c r="I114" s="402"/>
    </row>
    <row r="115" spans="1:9" ht="12.75" hidden="1">
      <c r="A115" s="21"/>
      <c r="B115" s="29">
        <v>3121</v>
      </c>
      <c r="C115" s="30" t="s">
        <v>76</v>
      </c>
      <c r="D115" s="34"/>
      <c r="E115" s="34"/>
      <c r="F115" s="34"/>
      <c r="G115" s="34"/>
      <c r="H115" s="402"/>
      <c r="I115" s="402"/>
    </row>
    <row r="116" spans="1:9" ht="12.75" hidden="1">
      <c r="A116" s="21"/>
      <c r="B116" s="29">
        <v>3122</v>
      </c>
      <c r="C116" s="30" t="s">
        <v>77</v>
      </c>
      <c r="D116" s="34"/>
      <c r="E116" s="34"/>
      <c r="F116" s="34"/>
      <c r="G116" s="34"/>
      <c r="H116" s="402"/>
      <c r="I116" s="402"/>
    </row>
    <row r="117" spans="1:9" ht="12.75" hidden="1">
      <c r="A117" s="21"/>
      <c r="B117" s="29">
        <v>3130</v>
      </c>
      <c r="C117" s="30" t="s">
        <v>78</v>
      </c>
      <c r="D117" s="40">
        <f>D118+D119</f>
        <v>0</v>
      </c>
      <c r="E117" s="40">
        <f>E118+E119</f>
        <v>0</v>
      </c>
      <c r="F117" s="40">
        <f>F118+F119</f>
        <v>0</v>
      </c>
      <c r="G117" s="40">
        <f>G118+G119</f>
        <v>0</v>
      </c>
      <c r="H117" s="402"/>
      <c r="I117" s="402"/>
    </row>
    <row r="118" spans="1:9" ht="12.75" hidden="1">
      <c r="A118" s="21"/>
      <c r="B118" s="29">
        <v>3131</v>
      </c>
      <c r="C118" s="30" t="s">
        <v>79</v>
      </c>
      <c r="D118" s="34"/>
      <c r="E118" s="34"/>
      <c r="F118" s="34"/>
      <c r="G118" s="34"/>
      <c r="H118" s="402"/>
      <c r="I118" s="402"/>
    </row>
    <row r="119" spans="1:9" ht="12.75" hidden="1">
      <c r="A119" s="21"/>
      <c r="B119" s="29">
        <v>3132</v>
      </c>
      <c r="C119" s="30" t="s">
        <v>80</v>
      </c>
      <c r="D119" s="34"/>
      <c r="E119" s="34"/>
      <c r="F119" s="34"/>
      <c r="G119" s="34"/>
      <c r="H119" s="402"/>
      <c r="I119" s="402"/>
    </row>
    <row r="120" spans="1:9" ht="12.75" hidden="1">
      <c r="A120" s="21"/>
      <c r="B120" s="29">
        <v>3140</v>
      </c>
      <c r="C120" s="30" t="s">
        <v>81</v>
      </c>
      <c r="D120" s="40">
        <f>D121+D122+D123</f>
        <v>0</v>
      </c>
      <c r="E120" s="40">
        <f>E121+E122+E123</f>
        <v>0</v>
      </c>
      <c r="F120" s="40">
        <f>F121+F122+F123</f>
        <v>0</v>
      </c>
      <c r="G120" s="40">
        <f>G121+G122+G123</f>
        <v>0</v>
      </c>
      <c r="H120" s="402"/>
      <c r="I120" s="402"/>
    </row>
    <row r="121" spans="1:9" ht="12.75" hidden="1">
      <c r="A121" s="21"/>
      <c r="B121" s="29">
        <v>3141</v>
      </c>
      <c r="C121" s="30" t="s">
        <v>82</v>
      </c>
      <c r="D121" s="34"/>
      <c r="E121" s="34"/>
      <c r="F121" s="34"/>
      <c r="G121" s="34"/>
      <c r="H121" s="402"/>
      <c r="I121" s="402"/>
    </row>
    <row r="122" spans="1:9" ht="12.75" hidden="1">
      <c r="A122" s="21"/>
      <c r="B122" s="29">
        <v>3142</v>
      </c>
      <c r="C122" s="30" t="s">
        <v>83</v>
      </c>
      <c r="D122" s="34"/>
      <c r="E122" s="34"/>
      <c r="F122" s="34"/>
      <c r="G122" s="34"/>
      <c r="H122" s="402"/>
      <c r="I122" s="402"/>
    </row>
    <row r="123" spans="1:9" ht="12.75" hidden="1">
      <c r="A123" s="21"/>
      <c r="B123" s="29">
        <v>3143</v>
      </c>
      <c r="C123" s="30" t="s">
        <v>84</v>
      </c>
      <c r="D123" s="34"/>
      <c r="E123" s="34"/>
      <c r="F123" s="34"/>
      <c r="G123" s="34"/>
      <c r="H123" s="402"/>
      <c r="I123" s="402"/>
    </row>
    <row r="124" spans="1:9" ht="12.75" hidden="1">
      <c r="A124" s="21"/>
      <c r="B124" s="29">
        <v>3150</v>
      </c>
      <c r="C124" s="30" t="s">
        <v>85</v>
      </c>
      <c r="D124" s="34"/>
      <c r="E124" s="34"/>
      <c r="F124" s="34"/>
      <c r="G124" s="34"/>
      <c r="H124" s="402"/>
      <c r="I124" s="402"/>
    </row>
    <row r="125" spans="1:9" ht="12.75" hidden="1">
      <c r="A125" s="21"/>
      <c r="B125" s="29">
        <v>3160</v>
      </c>
      <c r="C125" s="30" t="s">
        <v>86</v>
      </c>
      <c r="D125" s="34"/>
      <c r="E125" s="34"/>
      <c r="F125" s="34"/>
      <c r="G125" s="34"/>
      <c r="H125" s="402"/>
      <c r="I125" s="402"/>
    </row>
    <row r="126" spans="1:9" ht="12.75" hidden="1">
      <c r="A126" s="21"/>
      <c r="B126" s="27">
        <v>3200</v>
      </c>
      <c r="C126" s="28" t="s">
        <v>87</v>
      </c>
      <c r="D126" s="40">
        <f>D127+D128+D129+D130</f>
        <v>0</v>
      </c>
      <c r="E126" s="40">
        <f>E127+E128+E129+E130</f>
        <v>0</v>
      </c>
      <c r="F126" s="40">
        <f>F127+F128+F129+F130</f>
        <v>0</v>
      </c>
      <c r="G126" s="40">
        <f>G127+G128+G129+G130</f>
        <v>0</v>
      </c>
      <c r="H126" s="402"/>
      <c r="I126" s="402"/>
    </row>
    <row r="127" spans="1:9" ht="12.75" hidden="1">
      <c r="A127" s="21"/>
      <c r="B127" s="29">
        <v>3210</v>
      </c>
      <c r="C127" s="30" t="s">
        <v>88</v>
      </c>
      <c r="D127" s="34"/>
      <c r="E127" s="34"/>
      <c r="F127" s="34"/>
      <c r="G127" s="34"/>
      <c r="H127" s="402"/>
      <c r="I127" s="402"/>
    </row>
    <row r="128" spans="1:9" ht="12.75" hidden="1">
      <c r="A128" s="21"/>
      <c r="B128" s="29">
        <v>3220</v>
      </c>
      <c r="C128" s="30" t="s">
        <v>89</v>
      </c>
      <c r="D128" s="34"/>
      <c r="E128" s="34"/>
      <c r="F128" s="34"/>
      <c r="G128" s="34"/>
      <c r="H128" s="402"/>
      <c r="I128" s="402"/>
    </row>
    <row r="129" spans="1:9" ht="12.75" hidden="1">
      <c r="A129" s="21"/>
      <c r="B129" s="29">
        <v>3230</v>
      </c>
      <c r="C129" s="30" t="s">
        <v>90</v>
      </c>
      <c r="D129" s="34"/>
      <c r="E129" s="34"/>
      <c r="F129" s="34"/>
      <c r="G129" s="34"/>
      <c r="H129" s="402"/>
      <c r="I129" s="402"/>
    </row>
    <row r="130" spans="1:9" ht="13.5" customHeight="1" hidden="1">
      <c r="A130" s="21"/>
      <c r="B130" s="29">
        <v>3240</v>
      </c>
      <c r="C130" s="30" t="s">
        <v>91</v>
      </c>
      <c r="D130" s="34"/>
      <c r="E130" s="34"/>
      <c r="F130" s="34"/>
      <c r="G130" s="34"/>
      <c r="H130" s="402"/>
      <c r="I130" s="402"/>
    </row>
    <row r="131" spans="1:9" s="19" customFormat="1" ht="13.5" customHeight="1">
      <c r="A131" s="7"/>
      <c r="B131" s="7"/>
      <c r="C131" s="20" t="s">
        <v>3</v>
      </c>
      <c r="D131" s="34">
        <f>D76+D111</f>
        <v>4414.34</v>
      </c>
      <c r="E131" s="34">
        <f>E76+E111</f>
        <v>5957.5</v>
      </c>
      <c r="F131" s="34">
        <f>F76+F111</f>
        <v>5974.5</v>
      </c>
      <c r="G131" s="34">
        <f>G76+G111</f>
        <v>0</v>
      </c>
      <c r="H131" s="402"/>
      <c r="I131" s="402"/>
    </row>
    <row r="132" spans="1:8" ht="15">
      <c r="A132" s="115" t="s">
        <v>209</v>
      </c>
      <c r="B132" s="115" t="s">
        <v>209</v>
      </c>
      <c r="C132" s="115"/>
      <c r="D132" s="115"/>
      <c r="E132" s="115"/>
      <c r="F132" s="115"/>
      <c r="G132" s="115"/>
      <c r="H132" s="121"/>
    </row>
    <row r="133" spans="1:9" ht="15" customHeight="1">
      <c r="A133" s="444" t="s">
        <v>25</v>
      </c>
      <c r="B133" s="444"/>
      <c r="C133" s="444"/>
      <c r="D133" s="444"/>
      <c r="E133" s="444"/>
      <c r="F133" s="444"/>
      <c r="G133" s="444"/>
      <c r="H133" s="444"/>
      <c r="I133" s="444"/>
    </row>
    <row r="134" spans="1:9" ht="30" customHeight="1">
      <c r="A134" s="14" t="s">
        <v>20</v>
      </c>
      <c r="B134" s="8" t="s">
        <v>0</v>
      </c>
      <c r="C134" s="14" t="s">
        <v>1</v>
      </c>
      <c r="D134" s="14" t="s">
        <v>14</v>
      </c>
      <c r="E134" s="441" t="s">
        <v>15</v>
      </c>
      <c r="F134" s="441"/>
      <c r="G134" s="441"/>
      <c r="H134" s="14" t="s">
        <v>214</v>
      </c>
      <c r="I134" s="14" t="s">
        <v>215</v>
      </c>
    </row>
    <row r="135" spans="1:9" ht="13.5" thickBot="1">
      <c r="A135" s="17">
        <v>1</v>
      </c>
      <c r="B135" s="17">
        <v>1</v>
      </c>
      <c r="C135" s="38">
        <v>2</v>
      </c>
      <c r="D135" s="38">
        <v>3</v>
      </c>
      <c r="E135" s="427">
        <v>4</v>
      </c>
      <c r="F135" s="427"/>
      <c r="G135" s="427"/>
      <c r="H135" s="38">
        <v>5</v>
      </c>
      <c r="I135" s="38">
        <v>6</v>
      </c>
    </row>
    <row r="136" spans="1:9" s="55" customFormat="1" ht="13.5" thickTop="1">
      <c r="A136" s="54"/>
      <c r="B136" s="167">
        <f>B17</f>
        <v>1115010</v>
      </c>
      <c r="C136" s="182" t="str">
        <f>C17</f>
        <v>Програма Проведення спортивної роботи в регіоні</v>
      </c>
      <c r="D136" s="114"/>
      <c r="E136" s="451"/>
      <c r="F136" s="451"/>
      <c r="G136" s="451"/>
      <c r="H136" s="114"/>
      <c r="I136" s="114"/>
    </row>
    <row r="137" spans="1:9" s="55" customFormat="1" ht="12.75">
      <c r="A137" s="54"/>
      <c r="B137" s="69">
        <f>B18</f>
        <v>1115011</v>
      </c>
      <c r="C137" s="455" t="str">
        <f>C18</f>
        <v>Підпрограма Проведення навчально-тренувальних зборів і змагань з олімпійських видів спорту</v>
      </c>
      <c r="D137" s="456"/>
      <c r="E137" s="456"/>
      <c r="F137" s="456"/>
      <c r="G137" s="456"/>
      <c r="H137" s="456"/>
      <c r="I137" s="457"/>
    </row>
    <row r="138" spans="1:9" s="153" customFormat="1" ht="12.75">
      <c r="A138" s="68"/>
      <c r="B138" s="69"/>
      <c r="C138" s="455" t="s">
        <v>264</v>
      </c>
      <c r="D138" s="456"/>
      <c r="E138" s="456"/>
      <c r="F138" s="456"/>
      <c r="G138" s="456"/>
      <c r="H138" s="456"/>
      <c r="I138" s="457"/>
    </row>
    <row r="139" spans="1:9" s="60" customFormat="1" ht="12.75">
      <c r="A139" s="58"/>
      <c r="B139" s="39">
        <v>1</v>
      </c>
      <c r="C139" s="61" t="s">
        <v>126</v>
      </c>
      <c r="D139" s="62"/>
      <c r="E139" s="427"/>
      <c r="F139" s="427"/>
      <c r="G139" s="427"/>
      <c r="H139" s="59"/>
      <c r="I139" s="59"/>
    </row>
    <row r="140" spans="1:10" s="60" customFormat="1" ht="26.25">
      <c r="A140" s="58"/>
      <c r="B140" s="39"/>
      <c r="C140" s="63" t="s">
        <v>265</v>
      </c>
      <c r="D140" s="53" t="s">
        <v>124</v>
      </c>
      <c r="E140" s="452" t="s">
        <v>269</v>
      </c>
      <c r="F140" s="453"/>
      <c r="G140" s="454"/>
      <c r="H140" s="59">
        <v>415</v>
      </c>
      <c r="I140" s="59">
        <f>H140</f>
        <v>415</v>
      </c>
      <c r="J140" s="60">
        <f>H140/380</f>
        <v>1.0921052631578947</v>
      </c>
    </row>
    <row r="141" spans="1:9" s="60" customFormat="1" ht="12.75">
      <c r="A141" s="58"/>
      <c r="B141" s="39">
        <v>2</v>
      </c>
      <c r="C141" s="61" t="s">
        <v>136</v>
      </c>
      <c r="D141" s="62" t="s">
        <v>125</v>
      </c>
      <c r="E141" s="484" t="s">
        <v>125</v>
      </c>
      <c r="F141" s="484"/>
      <c r="G141" s="484"/>
      <c r="H141" s="59" t="s">
        <v>125</v>
      </c>
      <c r="I141" s="59"/>
    </row>
    <row r="142" spans="1:9" s="60" customFormat="1" ht="39" customHeight="1">
      <c r="A142" s="58"/>
      <c r="B142" s="39"/>
      <c r="C142" s="63" t="s">
        <v>266</v>
      </c>
      <c r="D142" s="53" t="s">
        <v>124</v>
      </c>
      <c r="E142" s="467" t="s">
        <v>146</v>
      </c>
      <c r="F142" s="467"/>
      <c r="G142" s="467"/>
      <c r="H142" s="59">
        <f>95579+799+8900</f>
        <v>105278</v>
      </c>
      <c r="I142" s="59">
        <f>H142</f>
        <v>105278</v>
      </c>
    </row>
    <row r="143" spans="1:9" s="60" customFormat="1" ht="12.75">
      <c r="A143" s="58"/>
      <c r="B143" s="39">
        <v>3</v>
      </c>
      <c r="C143" s="61" t="s">
        <v>143</v>
      </c>
      <c r="D143" s="62" t="s">
        <v>125</v>
      </c>
      <c r="E143" s="484" t="s">
        <v>125</v>
      </c>
      <c r="F143" s="484"/>
      <c r="G143" s="484"/>
      <c r="H143" s="59" t="s">
        <v>125</v>
      </c>
      <c r="I143" s="59"/>
    </row>
    <row r="144" spans="1:9" s="60" customFormat="1" ht="26.25">
      <c r="A144" s="58"/>
      <c r="B144" s="39"/>
      <c r="C144" s="63" t="s">
        <v>267</v>
      </c>
      <c r="D144" s="53" t="s">
        <v>145</v>
      </c>
      <c r="E144" s="467" t="s">
        <v>146</v>
      </c>
      <c r="F144" s="467"/>
      <c r="G144" s="467"/>
      <c r="H144" s="59">
        <v>89</v>
      </c>
      <c r="I144" s="59">
        <f>H144</f>
        <v>89</v>
      </c>
    </row>
    <row r="145" spans="1:9" s="60" customFormat="1" ht="12.75">
      <c r="A145" s="58"/>
      <c r="B145" s="39">
        <v>4</v>
      </c>
      <c r="C145" s="61" t="s">
        <v>147</v>
      </c>
      <c r="D145" s="62" t="s">
        <v>125</v>
      </c>
      <c r="E145" s="484" t="s">
        <v>125</v>
      </c>
      <c r="F145" s="484"/>
      <c r="G145" s="484"/>
      <c r="H145" s="59" t="s">
        <v>125</v>
      </c>
      <c r="I145" s="59"/>
    </row>
    <row r="146" spans="1:9" s="60" customFormat="1" ht="26.25">
      <c r="A146" s="58"/>
      <c r="B146" s="39"/>
      <c r="C146" s="63" t="s">
        <v>268</v>
      </c>
      <c r="D146" s="53" t="s">
        <v>123</v>
      </c>
      <c r="E146" s="467" t="s">
        <v>270</v>
      </c>
      <c r="F146" s="467"/>
      <c r="G146" s="467"/>
      <c r="H146" s="59">
        <v>0</v>
      </c>
      <c r="I146" s="59">
        <f>H146</f>
        <v>0</v>
      </c>
    </row>
    <row r="147" spans="1:9" s="60" customFormat="1" ht="12.75">
      <c r="A147" s="58"/>
      <c r="B147" s="39"/>
      <c r="C147" s="455" t="s">
        <v>271</v>
      </c>
      <c r="D147" s="456"/>
      <c r="E147" s="456"/>
      <c r="F147" s="456"/>
      <c r="G147" s="456"/>
      <c r="H147" s="456"/>
      <c r="I147" s="457"/>
    </row>
    <row r="148" spans="1:9" s="60" customFormat="1" ht="12.75">
      <c r="A148" s="58"/>
      <c r="B148" s="39">
        <v>1</v>
      </c>
      <c r="C148" s="61" t="s">
        <v>126</v>
      </c>
      <c r="D148" s="62"/>
      <c r="E148" s="427"/>
      <c r="F148" s="427"/>
      <c r="G148" s="427"/>
      <c r="H148" s="59"/>
      <c r="I148" s="59"/>
    </row>
    <row r="149" spans="1:10" s="60" customFormat="1" ht="30.75" customHeight="1">
      <c r="A149" s="58"/>
      <c r="B149" s="39"/>
      <c r="C149" s="63" t="s">
        <v>272</v>
      </c>
      <c r="D149" s="53" t="s">
        <v>124</v>
      </c>
      <c r="E149" s="452" t="s">
        <v>269</v>
      </c>
      <c r="F149" s="453"/>
      <c r="G149" s="454"/>
      <c r="H149" s="59">
        <v>340</v>
      </c>
      <c r="I149" s="59">
        <f>H149</f>
        <v>340</v>
      </c>
      <c r="J149" s="60">
        <f>I149/309</f>
        <v>1.1003236245954693</v>
      </c>
    </row>
    <row r="150" spans="1:9" s="60" customFormat="1" ht="12.75">
      <c r="A150" s="58"/>
      <c r="B150" s="39">
        <v>2</v>
      </c>
      <c r="C150" s="61" t="s">
        <v>136</v>
      </c>
      <c r="D150" s="62" t="s">
        <v>125</v>
      </c>
      <c r="E150" s="486" t="s">
        <v>125</v>
      </c>
      <c r="F150" s="487"/>
      <c r="G150" s="488"/>
      <c r="H150" s="59" t="s">
        <v>125</v>
      </c>
      <c r="I150" s="59"/>
    </row>
    <row r="151" spans="1:10" s="60" customFormat="1" ht="12.75">
      <c r="A151" s="58"/>
      <c r="B151" s="39"/>
      <c r="C151" s="63" t="s">
        <v>273</v>
      </c>
      <c r="D151" s="53" t="s">
        <v>124</v>
      </c>
      <c r="E151" s="452" t="s">
        <v>146</v>
      </c>
      <c r="F151" s="453"/>
      <c r="G151" s="454"/>
      <c r="H151" s="59">
        <f>67933+1400+5000</f>
        <v>74333</v>
      </c>
      <c r="I151" s="59">
        <f>H151</f>
        <v>74333</v>
      </c>
      <c r="J151" s="60">
        <f>I151/67933</f>
        <v>1.0942104720827874</v>
      </c>
    </row>
    <row r="152" spans="1:9" s="60" customFormat="1" ht="12.75">
      <c r="A152" s="58"/>
      <c r="B152" s="39">
        <v>3</v>
      </c>
      <c r="C152" s="61" t="s">
        <v>143</v>
      </c>
      <c r="D152" s="62" t="s">
        <v>125</v>
      </c>
      <c r="E152" s="486" t="s">
        <v>125</v>
      </c>
      <c r="F152" s="487"/>
      <c r="G152" s="488"/>
      <c r="H152" s="59" t="s">
        <v>125</v>
      </c>
      <c r="I152" s="59"/>
    </row>
    <row r="153" spans="1:9" s="60" customFormat="1" ht="12.75">
      <c r="A153" s="58"/>
      <c r="B153" s="39"/>
      <c r="C153" s="63" t="s">
        <v>274</v>
      </c>
      <c r="D153" s="53" t="s">
        <v>145</v>
      </c>
      <c r="E153" s="452" t="s">
        <v>146</v>
      </c>
      <c r="F153" s="453"/>
      <c r="G153" s="454"/>
      <c r="H153" s="59">
        <v>63</v>
      </c>
      <c r="I153" s="59">
        <f>H153</f>
        <v>63</v>
      </c>
    </row>
    <row r="154" spans="1:9" s="60" customFormat="1" ht="12.75">
      <c r="A154" s="58"/>
      <c r="B154" s="39">
        <v>4</v>
      </c>
      <c r="C154" s="61" t="s">
        <v>147</v>
      </c>
      <c r="D154" s="62" t="s">
        <v>125</v>
      </c>
      <c r="E154" s="486" t="s">
        <v>125</v>
      </c>
      <c r="F154" s="487"/>
      <c r="G154" s="488"/>
      <c r="H154" s="59" t="s">
        <v>125</v>
      </c>
      <c r="I154" s="59"/>
    </row>
    <row r="155" spans="1:9" s="60" customFormat="1" ht="26.25">
      <c r="A155" s="58"/>
      <c r="B155" s="39"/>
      <c r="C155" s="63" t="s">
        <v>275</v>
      </c>
      <c r="D155" s="53" t="s">
        <v>123</v>
      </c>
      <c r="E155" s="452" t="s">
        <v>270</v>
      </c>
      <c r="F155" s="453"/>
      <c r="G155" s="454"/>
      <c r="H155" s="59">
        <v>2</v>
      </c>
      <c r="I155" s="59">
        <f>H155</f>
        <v>2</v>
      </c>
    </row>
    <row r="156" spans="1:9" s="60" customFormat="1" ht="26.25">
      <c r="A156" s="58"/>
      <c r="B156" s="39"/>
      <c r="C156" s="63" t="s">
        <v>276</v>
      </c>
      <c r="D156" s="53" t="s">
        <v>123</v>
      </c>
      <c r="E156" s="452" t="s">
        <v>270</v>
      </c>
      <c r="F156" s="453"/>
      <c r="G156" s="454"/>
      <c r="H156" s="59">
        <v>10</v>
      </c>
      <c r="I156" s="59">
        <f>H156</f>
        <v>10</v>
      </c>
    </row>
    <row r="157" spans="1:9" s="60" customFormat="1" ht="12.75">
      <c r="A157" s="58"/>
      <c r="B157" s="39"/>
      <c r="C157" s="485" t="s">
        <v>277</v>
      </c>
      <c r="D157" s="485"/>
      <c r="E157" s="485"/>
      <c r="F157" s="485"/>
      <c r="G157" s="485"/>
      <c r="H157" s="485"/>
      <c r="I157" s="485"/>
    </row>
    <row r="158" spans="1:9" s="60" customFormat="1" ht="12.75">
      <c r="A158" s="58"/>
      <c r="B158" s="39">
        <v>1</v>
      </c>
      <c r="C158" s="61" t="s">
        <v>126</v>
      </c>
      <c r="D158" s="62" t="s">
        <v>125</v>
      </c>
      <c r="E158" s="484" t="s">
        <v>125</v>
      </c>
      <c r="F158" s="484"/>
      <c r="G158" s="484"/>
      <c r="H158" s="59"/>
      <c r="I158" s="59"/>
    </row>
    <row r="159" spans="1:10" s="60" customFormat="1" ht="26.25">
      <c r="A159" s="58"/>
      <c r="B159" s="39"/>
      <c r="C159" s="63" t="s">
        <v>278</v>
      </c>
      <c r="D159" s="53" t="s">
        <v>124</v>
      </c>
      <c r="E159" s="467" t="s">
        <v>128</v>
      </c>
      <c r="F159" s="467"/>
      <c r="G159" s="467"/>
      <c r="H159" s="59">
        <v>400</v>
      </c>
      <c r="I159" s="59">
        <f>H159</f>
        <v>400</v>
      </c>
      <c r="J159" s="60">
        <f>I159/350</f>
        <v>1.1428571428571428</v>
      </c>
    </row>
    <row r="160" spans="1:9" s="60" customFormat="1" ht="12.75">
      <c r="A160" s="58"/>
      <c r="B160" s="39">
        <v>2</v>
      </c>
      <c r="C160" s="61" t="s">
        <v>136</v>
      </c>
      <c r="D160" s="62" t="s">
        <v>125</v>
      </c>
      <c r="E160" s="484" t="s">
        <v>125</v>
      </c>
      <c r="F160" s="484"/>
      <c r="G160" s="484"/>
      <c r="H160" s="59" t="s">
        <v>125</v>
      </c>
      <c r="I160" s="59"/>
    </row>
    <row r="161" spans="1:10" s="60" customFormat="1" ht="26.25">
      <c r="A161" s="58"/>
      <c r="B161" s="39"/>
      <c r="C161" s="63" t="s">
        <v>279</v>
      </c>
      <c r="D161" s="53" t="s">
        <v>138</v>
      </c>
      <c r="E161" s="467" t="s">
        <v>270</v>
      </c>
      <c r="F161" s="467"/>
      <c r="G161" s="467"/>
      <c r="H161" s="59">
        <v>7000</v>
      </c>
      <c r="I161" s="59">
        <f>H161</f>
        <v>7000</v>
      </c>
      <c r="J161" s="60">
        <f>I161/6014</f>
        <v>1.1639507815098105</v>
      </c>
    </row>
    <row r="162" spans="1:9" s="60" customFormat="1" ht="12.75">
      <c r="A162" s="58"/>
      <c r="B162" s="39">
        <v>3</v>
      </c>
      <c r="C162" s="61" t="s">
        <v>143</v>
      </c>
      <c r="D162" s="62" t="s">
        <v>125</v>
      </c>
      <c r="E162" s="484" t="s">
        <v>125</v>
      </c>
      <c r="F162" s="484"/>
      <c r="G162" s="484"/>
      <c r="H162" s="59" t="s">
        <v>125</v>
      </c>
      <c r="I162" s="59"/>
    </row>
    <row r="163" spans="1:9" s="60" customFormat="1" ht="26.25">
      <c r="A163" s="58"/>
      <c r="B163" s="39"/>
      <c r="C163" s="63" t="s">
        <v>280</v>
      </c>
      <c r="D163" s="53" t="s">
        <v>145</v>
      </c>
      <c r="E163" s="467" t="s">
        <v>146</v>
      </c>
      <c r="F163" s="467"/>
      <c r="G163" s="467"/>
      <c r="H163" s="59">
        <v>1454</v>
      </c>
      <c r="I163" s="59">
        <f>H163</f>
        <v>1454</v>
      </c>
    </row>
    <row r="164" spans="1:9" s="60" customFormat="1" ht="12.75">
      <c r="A164" s="58"/>
      <c r="B164" s="39">
        <v>4</v>
      </c>
      <c r="C164" s="61" t="s">
        <v>147</v>
      </c>
      <c r="D164" s="62" t="s">
        <v>125</v>
      </c>
      <c r="E164" s="484" t="s">
        <v>125</v>
      </c>
      <c r="F164" s="484"/>
      <c r="G164" s="484"/>
      <c r="H164" s="59" t="s">
        <v>125</v>
      </c>
      <c r="I164" s="59"/>
    </row>
    <row r="165" spans="1:9" s="60" customFormat="1" ht="26.25">
      <c r="A165" s="58"/>
      <c r="B165" s="39"/>
      <c r="C165" s="63" t="s">
        <v>281</v>
      </c>
      <c r="D165" s="53" t="s">
        <v>138</v>
      </c>
      <c r="E165" s="467" t="s">
        <v>146</v>
      </c>
      <c r="F165" s="467"/>
      <c r="G165" s="467"/>
      <c r="H165" s="59">
        <v>2200</v>
      </c>
      <c r="I165" s="59">
        <f>H165</f>
        <v>2200</v>
      </c>
    </row>
    <row r="166" spans="1:9" s="60" customFormat="1" ht="26.25">
      <c r="A166" s="58"/>
      <c r="B166" s="39"/>
      <c r="C166" s="63" t="s">
        <v>282</v>
      </c>
      <c r="D166" s="53" t="s">
        <v>123</v>
      </c>
      <c r="E166" s="467" t="s">
        <v>146</v>
      </c>
      <c r="F166" s="467"/>
      <c r="G166" s="467"/>
      <c r="H166" s="59">
        <v>2.6</v>
      </c>
      <c r="I166" s="59">
        <f>H166</f>
        <v>2.6</v>
      </c>
    </row>
    <row r="167" spans="1:9" s="60" customFormat="1" ht="12.75">
      <c r="A167" s="58"/>
      <c r="B167" s="69">
        <f>B75</f>
        <v>1115012</v>
      </c>
      <c r="C167" s="455" t="str">
        <f>C75</f>
        <v>Підпрограма Проведення навчально-тренувальних зборів і змагань з неолімпійських видів спорту</v>
      </c>
      <c r="D167" s="456"/>
      <c r="E167" s="456"/>
      <c r="F167" s="456"/>
      <c r="G167" s="456"/>
      <c r="H167" s="456"/>
      <c r="I167" s="457"/>
    </row>
    <row r="168" spans="1:9" s="60" customFormat="1" ht="12.75">
      <c r="A168" s="58"/>
      <c r="B168" s="39"/>
      <c r="C168" s="485" t="s">
        <v>288</v>
      </c>
      <c r="D168" s="485"/>
      <c r="E168" s="485"/>
      <c r="F168" s="485"/>
      <c r="G168" s="485"/>
      <c r="H168" s="485"/>
      <c r="I168" s="485"/>
    </row>
    <row r="169" spans="1:9" s="60" customFormat="1" ht="13.5" customHeight="1">
      <c r="A169" s="58"/>
      <c r="B169" s="39">
        <v>1</v>
      </c>
      <c r="C169" s="61" t="s">
        <v>126</v>
      </c>
      <c r="D169" s="62" t="s">
        <v>125</v>
      </c>
      <c r="E169" s="484" t="s">
        <v>125</v>
      </c>
      <c r="F169" s="484"/>
      <c r="G169" s="484"/>
      <c r="H169" s="59"/>
      <c r="I169" s="59"/>
    </row>
    <row r="170" spans="1:9" s="60" customFormat="1" ht="26.25">
      <c r="A170" s="58"/>
      <c r="B170" s="39"/>
      <c r="C170" s="63" t="s">
        <v>283</v>
      </c>
      <c r="D170" s="53" t="s">
        <v>124</v>
      </c>
      <c r="E170" s="467" t="s">
        <v>269</v>
      </c>
      <c r="F170" s="467"/>
      <c r="G170" s="467"/>
      <c r="H170" s="59">
        <v>70</v>
      </c>
      <c r="I170" s="59">
        <f>H170</f>
        <v>70</v>
      </c>
    </row>
    <row r="171" spans="1:9" s="60" customFormat="1" ht="13.5" customHeight="1">
      <c r="A171" s="58"/>
      <c r="B171" s="39">
        <v>2</v>
      </c>
      <c r="C171" s="61" t="s">
        <v>136</v>
      </c>
      <c r="D171" s="62" t="s">
        <v>125</v>
      </c>
      <c r="E171" s="484" t="s">
        <v>125</v>
      </c>
      <c r="F171" s="484"/>
      <c r="G171" s="484"/>
      <c r="H171" s="59" t="s">
        <v>125</v>
      </c>
      <c r="I171" s="59"/>
    </row>
    <row r="172" spans="1:9" s="60" customFormat="1" ht="26.25">
      <c r="A172" s="58"/>
      <c r="B172" s="39"/>
      <c r="C172" s="63" t="s">
        <v>284</v>
      </c>
      <c r="D172" s="53" t="s">
        <v>124</v>
      </c>
      <c r="E172" s="467" t="s">
        <v>146</v>
      </c>
      <c r="F172" s="467"/>
      <c r="G172" s="467"/>
      <c r="H172" s="59">
        <v>32345</v>
      </c>
      <c r="I172" s="59">
        <f>H172</f>
        <v>32345</v>
      </c>
    </row>
    <row r="173" spans="1:9" s="60" customFormat="1" ht="13.5" customHeight="1">
      <c r="A173" s="58"/>
      <c r="B173" s="39">
        <v>3</v>
      </c>
      <c r="C173" s="61" t="s">
        <v>143</v>
      </c>
      <c r="D173" s="62" t="s">
        <v>125</v>
      </c>
      <c r="E173" s="484" t="s">
        <v>125</v>
      </c>
      <c r="F173" s="484"/>
      <c r="G173" s="484"/>
      <c r="H173" s="59" t="s">
        <v>125</v>
      </c>
      <c r="I173" s="59"/>
    </row>
    <row r="174" spans="1:9" s="60" customFormat="1" ht="26.25">
      <c r="A174" s="58"/>
      <c r="B174" s="39"/>
      <c r="C174" s="63" t="s">
        <v>285</v>
      </c>
      <c r="D174" s="53" t="s">
        <v>145</v>
      </c>
      <c r="E174" s="467" t="s">
        <v>146</v>
      </c>
      <c r="F174" s="467"/>
      <c r="G174" s="467"/>
      <c r="H174" s="59">
        <v>79</v>
      </c>
      <c r="I174" s="59">
        <f>H174</f>
        <v>79</v>
      </c>
    </row>
    <row r="175" spans="1:9" s="60" customFormat="1" ht="13.5" customHeight="1">
      <c r="A175" s="58"/>
      <c r="B175" s="39">
        <v>4</v>
      </c>
      <c r="C175" s="61" t="s">
        <v>147</v>
      </c>
      <c r="D175" s="62" t="s">
        <v>125</v>
      </c>
      <c r="E175" s="484" t="s">
        <v>125</v>
      </c>
      <c r="F175" s="484"/>
      <c r="G175" s="484"/>
      <c r="H175" s="59" t="s">
        <v>125</v>
      </c>
      <c r="I175" s="59"/>
    </row>
    <row r="176" spans="1:9" s="60" customFormat="1" ht="26.25">
      <c r="A176" s="58"/>
      <c r="B176" s="39"/>
      <c r="C176" s="63" t="s">
        <v>286</v>
      </c>
      <c r="D176" s="53" t="s">
        <v>123</v>
      </c>
      <c r="E176" s="467" t="s">
        <v>270</v>
      </c>
      <c r="F176" s="467"/>
      <c r="G176" s="467"/>
      <c r="H176" s="59">
        <v>0</v>
      </c>
      <c r="I176" s="59">
        <f>H176</f>
        <v>0</v>
      </c>
    </row>
    <row r="177" spans="1:9" s="60" customFormat="1" ht="13.5" customHeight="1">
      <c r="A177" s="58"/>
      <c r="B177" s="39"/>
      <c r="C177" s="485" t="s">
        <v>287</v>
      </c>
      <c r="D177" s="485"/>
      <c r="E177" s="485"/>
      <c r="F177" s="485"/>
      <c r="G177" s="485"/>
      <c r="H177" s="485"/>
      <c r="I177" s="485"/>
    </row>
    <row r="178" spans="1:9" s="60" customFormat="1" ht="13.5" customHeight="1">
      <c r="A178" s="58"/>
      <c r="B178" s="39">
        <v>1</v>
      </c>
      <c r="C178" s="61" t="s">
        <v>126</v>
      </c>
      <c r="D178" s="62" t="s">
        <v>125</v>
      </c>
      <c r="E178" s="484" t="s">
        <v>125</v>
      </c>
      <c r="F178" s="484"/>
      <c r="G178" s="484"/>
      <c r="H178" s="59"/>
      <c r="I178" s="59"/>
    </row>
    <row r="179" spans="1:9" s="60" customFormat="1" ht="25.5" customHeight="1">
      <c r="A179" s="58"/>
      <c r="B179" s="39"/>
      <c r="C179" s="63" t="s">
        <v>289</v>
      </c>
      <c r="D179" s="53" t="s">
        <v>124</v>
      </c>
      <c r="E179" s="467" t="s">
        <v>269</v>
      </c>
      <c r="F179" s="467"/>
      <c r="G179" s="467"/>
      <c r="H179" s="59">
        <v>80</v>
      </c>
      <c r="I179" s="59">
        <f>H179</f>
        <v>80</v>
      </c>
    </row>
    <row r="180" spans="1:9" s="60" customFormat="1" ht="13.5" customHeight="1">
      <c r="A180" s="58"/>
      <c r="B180" s="39">
        <v>2</v>
      </c>
      <c r="C180" s="61" t="s">
        <v>136</v>
      </c>
      <c r="D180" s="62" t="s">
        <v>125</v>
      </c>
      <c r="E180" s="484" t="s">
        <v>125</v>
      </c>
      <c r="F180" s="484"/>
      <c r="G180" s="484"/>
      <c r="H180" s="59" t="s">
        <v>125</v>
      </c>
      <c r="I180" s="59"/>
    </row>
    <row r="181" spans="1:9" s="60" customFormat="1" ht="13.5" customHeight="1">
      <c r="A181" s="58"/>
      <c r="B181" s="39"/>
      <c r="C181" s="63" t="s">
        <v>290</v>
      </c>
      <c r="D181" s="53" t="s">
        <v>124</v>
      </c>
      <c r="E181" s="467" t="s">
        <v>146</v>
      </c>
      <c r="F181" s="467"/>
      <c r="G181" s="467"/>
      <c r="H181" s="59">
        <v>17900</v>
      </c>
      <c r="I181" s="59">
        <f>H181</f>
        <v>17900</v>
      </c>
    </row>
    <row r="182" spans="1:9" s="60" customFormat="1" ht="13.5" customHeight="1">
      <c r="A182" s="58"/>
      <c r="B182" s="39">
        <v>3</v>
      </c>
      <c r="C182" s="61" t="s">
        <v>143</v>
      </c>
      <c r="D182" s="62" t="s">
        <v>125</v>
      </c>
      <c r="E182" s="484" t="s">
        <v>125</v>
      </c>
      <c r="F182" s="484"/>
      <c r="G182" s="484"/>
      <c r="H182" s="59" t="s">
        <v>125</v>
      </c>
      <c r="I182" s="59"/>
    </row>
    <row r="183" spans="1:9" s="60" customFormat="1" ht="13.5" customHeight="1">
      <c r="A183" s="58"/>
      <c r="B183" s="39"/>
      <c r="C183" s="63" t="s">
        <v>291</v>
      </c>
      <c r="D183" s="53" t="s">
        <v>145</v>
      </c>
      <c r="E183" s="467" t="s">
        <v>146</v>
      </c>
      <c r="F183" s="467"/>
      <c r="G183" s="467"/>
      <c r="H183" s="59">
        <v>60</v>
      </c>
      <c r="I183" s="59">
        <f>H183</f>
        <v>60</v>
      </c>
    </row>
    <row r="184" spans="1:9" s="60" customFormat="1" ht="13.5" customHeight="1">
      <c r="A184" s="58"/>
      <c r="B184" s="39">
        <v>4</v>
      </c>
      <c r="C184" s="61" t="s">
        <v>147</v>
      </c>
      <c r="D184" s="62" t="s">
        <v>125</v>
      </c>
      <c r="E184" s="484" t="s">
        <v>125</v>
      </c>
      <c r="F184" s="484"/>
      <c r="G184" s="484"/>
      <c r="H184" s="59" t="s">
        <v>125</v>
      </c>
      <c r="I184" s="59"/>
    </row>
    <row r="185" spans="1:9" s="60" customFormat="1" ht="13.5" customHeight="1">
      <c r="A185" s="58"/>
      <c r="B185" s="39"/>
      <c r="C185" s="63" t="s">
        <v>275</v>
      </c>
      <c r="D185" s="53" t="s">
        <v>123</v>
      </c>
      <c r="E185" s="467" t="s">
        <v>270</v>
      </c>
      <c r="F185" s="467"/>
      <c r="G185" s="467"/>
      <c r="H185" s="59">
        <v>2</v>
      </c>
      <c r="I185" s="59">
        <f>H185</f>
        <v>2</v>
      </c>
    </row>
    <row r="186" spans="1:9" s="60" customFormat="1" ht="26.25">
      <c r="A186" s="58"/>
      <c r="B186" s="39"/>
      <c r="C186" s="63" t="s">
        <v>276</v>
      </c>
      <c r="D186" s="53" t="s">
        <v>123</v>
      </c>
      <c r="E186" s="467" t="s">
        <v>270</v>
      </c>
      <c r="F186" s="467"/>
      <c r="G186" s="467"/>
      <c r="H186" s="59">
        <v>2</v>
      </c>
      <c r="I186" s="59">
        <f>H186</f>
        <v>2</v>
      </c>
    </row>
    <row r="187" spans="1:9" s="60" customFormat="1" ht="12.75">
      <c r="A187" s="58"/>
      <c r="B187" s="39"/>
      <c r="C187" s="485" t="s">
        <v>292</v>
      </c>
      <c r="D187" s="485"/>
      <c r="E187" s="485"/>
      <c r="F187" s="485"/>
      <c r="G187" s="485"/>
      <c r="H187" s="485"/>
      <c r="I187" s="485"/>
    </row>
    <row r="188" spans="1:9" s="60" customFormat="1" ht="12.75">
      <c r="A188" s="58"/>
      <c r="B188" s="39">
        <v>1</v>
      </c>
      <c r="C188" s="61" t="s">
        <v>126</v>
      </c>
      <c r="D188" s="62" t="s">
        <v>125</v>
      </c>
      <c r="E188" s="484" t="s">
        <v>125</v>
      </c>
      <c r="F188" s="484"/>
      <c r="G188" s="484"/>
      <c r="H188" s="59"/>
      <c r="I188" s="59"/>
    </row>
    <row r="189" spans="1:9" s="60" customFormat="1" ht="26.25">
      <c r="A189" s="58"/>
      <c r="B189" s="39"/>
      <c r="C189" s="63" t="s">
        <v>293</v>
      </c>
      <c r="D189" s="53" t="s">
        <v>124</v>
      </c>
      <c r="E189" s="467" t="s">
        <v>128</v>
      </c>
      <c r="F189" s="467"/>
      <c r="G189" s="467"/>
      <c r="H189" s="59">
        <v>95</v>
      </c>
      <c r="I189" s="59">
        <f>H189</f>
        <v>95</v>
      </c>
    </row>
    <row r="190" spans="1:9" s="60" customFormat="1" ht="12.75">
      <c r="A190" s="58"/>
      <c r="B190" s="39">
        <v>2</v>
      </c>
      <c r="C190" s="61" t="s">
        <v>136</v>
      </c>
      <c r="D190" s="62" t="s">
        <v>125</v>
      </c>
      <c r="E190" s="484" t="s">
        <v>125</v>
      </c>
      <c r="F190" s="484"/>
      <c r="G190" s="484"/>
      <c r="H190" s="59" t="s">
        <v>125</v>
      </c>
      <c r="I190" s="59"/>
    </row>
    <row r="191" spans="1:9" s="60" customFormat="1" ht="39" customHeight="1">
      <c r="A191" s="58"/>
      <c r="B191" s="39"/>
      <c r="C191" s="63" t="s">
        <v>294</v>
      </c>
      <c r="D191" s="53" t="s">
        <v>138</v>
      </c>
      <c r="E191" s="467" t="s">
        <v>270</v>
      </c>
      <c r="F191" s="467"/>
      <c r="G191" s="467"/>
      <c r="H191" s="59">
        <v>2800</v>
      </c>
      <c r="I191" s="59">
        <f>H191</f>
        <v>2800</v>
      </c>
    </row>
    <row r="192" spans="1:9" s="60" customFormat="1" ht="12.75">
      <c r="A192" s="58"/>
      <c r="B192" s="39">
        <v>3</v>
      </c>
      <c r="C192" s="61" t="s">
        <v>143</v>
      </c>
      <c r="D192" s="62" t="s">
        <v>125</v>
      </c>
      <c r="E192" s="484" t="s">
        <v>125</v>
      </c>
      <c r="F192" s="484"/>
      <c r="G192" s="484"/>
      <c r="H192" s="59" t="s">
        <v>125</v>
      </c>
      <c r="I192" s="59"/>
    </row>
    <row r="193" spans="1:9" s="60" customFormat="1" ht="39" customHeight="1">
      <c r="A193" s="58"/>
      <c r="B193" s="39"/>
      <c r="C193" s="63" t="s">
        <v>295</v>
      </c>
      <c r="D193" s="53" t="s">
        <v>145</v>
      </c>
      <c r="E193" s="467" t="s">
        <v>146</v>
      </c>
      <c r="F193" s="467"/>
      <c r="G193" s="467"/>
      <c r="H193" s="59">
        <v>935</v>
      </c>
      <c r="I193" s="59">
        <f>H193</f>
        <v>935</v>
      </c>
    </row>
    <row r="194" spans="1:9" s="60" customFormat="1" ht="12.75">
      <c r="A194" s="58"/>
      <c r="B194" s="39">
        <v>4</v>
      </c>
      <c r="C194" s="61" t="s">
        <v>147</v>
      </c>
      <c r="D194" s="62" t="s">
        <v>125</v>
      </c>
      <c r="E194" s="484" t="s">
        <v>125</v>
      </c>
      <c r="F194" s="484"/>
      <c r="G194" s="484"/>
      <c r="H194" s="59" t="s">
        <v>125</v>
      </c>
      <c r="I194" s="59"/>
    </row>
    <row r="195" spans="1:10" s="60" customFormat="1" ht="39" customHeight="1">
      <c r="A195" s="58"/>
      <c r="B195" s="39"/>
      <c r="C195" s="63" t="s">
        <v>296</v>
      </c>
      <c r="D195" s="53" t="s">
        <v>138</v>
      </c>
      <c r="E195" s="467" t="s">
        <v>146</v>
      </c>
      <c r="F195" s="467"/>
      <c r="G195" s="467"/>
      <c r="H195" s="59">
        <v>765</v>
      </c>
      <c r="I195" s="59">
        <f>H195</f>
        <v>765</v>
      </c>
      <c r="J195" s="60">
        <f>I195/710</f>
        <v>1.0774647887323943</v>
      </c>
    </row>
    <row r="196" spans="1:9" s="60" customFormat="1" ht="39" customHeight="1">
      <c r="A196" s="58"/>
      <c r="B196" s="39"/>
      <c r="C196" s="63" t="s">
        <v>297</v>
      </c>
      <c r="D196" s="53" t="s">
        <v>123</v>
      </c>
      <c r="E196" s="467" t="s">
        <v>146</v>
      </c>
      <c r="F196" s="467"/>
      <c r="G196" s="467"/>
      <c r="H196" s="59">
        <v>0</v>
      </c>
      <c r="I196" s="59">
        <f>H196</f>
        <v>0</v>
      </c>
    </row>
    <row r="197" ht="12.75">
      <c r="A197" s="22"/>
    </row>
    <row r="198" spans="1:9" ht="30.75" customHeight="1">
      <c r="A198" s="444" t="s">
        <v>27</v>
      </c>
      <c r="B198" s="444"/>
      <c r="C198" s="444"/>
      <c r="D198" s="444"/>
      <c r="E198" s="444"/>
      <c r="F198" s="444"/>
      <c r="G198" s="444"/>
      <c r="H198" s="444"/>
      <c r="I198" s="444"/>
    </row>
    <row r="199" spans="1:9" ht="15">
      <c r="A199" s="446"/>
      <c r="B199" s="446"/>
      <c r="C199" s="446"/>
      <c r="D199" s="446"/>
      <c r="E199" s="446"/>
      <c r="F199" s="446"/>
      <c r="G199" s="446"/>
      <c r="H199" s="446"/>
      <c r="I199" s="446"/>
    </row>
    <row r="200" spans="1:9" ht="15">
      <c r="A200" s="446"/>
      <c r="B200" s="446"/>
      <c r="C200" s="446"/>
      <c r="D200" s="446"/>
      <c r="E200" s="446"/>
      <c r="F200" s="446"/>
      <c r="G200" s="446"/>
      <c r="H200" s="446"/>
      <c r="I200" s="446"/>
    </row>
    <row r="201" spans="1:9" ht="15">
      <c r="A201" s="442" t="s">
        <v>210</v>
      </c>
      <c r="B201" s="442"/>
      <c r="C201" s="442"/>
      <c r="D201" s="442"/>
      <c r="E201" s="442"/>
      <c r="F201" s="442"/>
      <c r="G201" s="442"/>
      <c r="H201" s="442"/>
      <c r="I201" s="442"/>
    </row>
    <row r="202" ht="12.75">
      <c r="I202" s="2" t="s">
        <v>4</v>
      </c>
    </row>
    <row r="203" spans="1:9" s="19" customFormat="1" ht="12.75">
      <c r="A203" s="443" t="s">
        <v>3</v>
      </c>
      <c r="B203" s="443"/>
      <c r="C203" s="23"/>
      <c r="D203" s="18"/>
      <c r="E203" s="18"/>
      <c r="F203" s="18"/>
      <c r="G203" s="18"/>
      <c r="H203" s="443"/>
      <c r="I203" s="443"/>
    </row>
    <row r="204" ht="12.75">
      <c r="A204" s="3"/>
    </row>
    <row r="205" spans="1:9" ht="30.75" customHeight="1">
      <c r="A205" s="444" t="s">
        <v>211</v>
      </c>
      <c r="B205" s="444"/>
      <c r="C205" s="444"/>
      <c r="D205" s="444"/>
      <c r="E205" s="444"/>
      <c r="F205" s="444"/>
      <c r="G205" s="444"/>
      <c r="H205" s="444"/>
      <c r="I205" s="444"/>
    </row>
    <row r="206" ht="12.75">
      <c r="I206" s="2" t="s">
        <v>4</v>
      </c>
    </row>
    <row r="207" spans="1:9" ht="36.75" customHeight="1">
      <c r="A207" s="441" t="s">
        <v>23</v>
      </c>
      <c r="B207" s="441"/>
      <c r="C207" s="441" t="s">
        <v>1</v>
      </c>
      <c r="D207" s="441" t="s">
        <v>7</v>
      </c>
      <c r="E207" s="441"/>
      <c r="F207" s="441" t="s">
        <v>178</v>
      </c>
      <c r="G207" s="441"/>
      <c r="H207" s="441" t="s">
        <v>212</v>
      </c>
      <c r="I207" s="441"/>
    </row>
    <row r="208" spans="1:9" ht="36" customHeight="1">
      <c r="A208" s="441"/>
      <c r="B208" s="441"/>
      <c r="C208" s="441"/>
      <c r="D208" s="14" t="s">
        <v>28</v>
      </c>
      <c r="E208" s="14" t="s">
        <v>36</v>
      </c>
      <c r="F208" s="14" t="s">
        <v>28</v>
      </c>
      <c r="G208" s="14" t="s">
        <v>36</v>
      </c>
      <c r="H208" s="441"/>
      <c r="I208" s="441"/>
    </row>
    <row r="209" spans="1:9" ht="13.5" thickBot="1">
      <c r="A209" s="445">
        <v>1</v>
      </c>
      <c r="B209" s="445"/>
      <c r="C209" s="17">
        <v>2</v>
      </c>
      <c r="D209" s="16">
        <v>3</v>
      </c>
      <c r="E209" s="16">
        <v>4</v>
      </c>
      <c r="F209" s="16">
        <v>5</v>
      </c>
      <c r="G209" s="16">
        <v>6</v>
      </c>
      <c r="H209" s="445">
        <v>7</v>
      </c>
      <c r="I209" s="445"/>
    </row>
    <row r="210" spans="1:9" ht="13.5" thickTop="1">
      <c r="A210" s="447"/>
      <c r="B210" s="447"/>
      <c r="C210" s="15"/>
      <c r="D210" s="25"/>
      <c r="E210" s="25"/>
      <c r="F210" s="25"/>
      <c r="G210" s="25"/>
      <c r="H210" s="440"/>
      <c r="I210" s="440"/>
    </row>
    <row r="211" spans="1:9" ht="12.75">
      <c r="A211" s="402"/>
      <c r="B211" s="402"/>
      <c r="C211" s="12"/>
      <c r="D211" s="11"/>
      <c r="E211" s="11"/>
      <c r="F211" s="11"/>
      <c r="G211" s="11"/>
      <c r="H211" s="427"/>
      <c r="I211" s="427"/>
    </row>
    <row r="212" spans="1:9" ht="12.75">
      <c r="A212" s="402"/>
      <c r="B212" s="402"/>
      <c r="C212" s="12"/>
      <c r="D212" s="11"/>
      <c r="E212" s="11"/>
      <c r="F212" s="11"/>
      <c r="G212" s="11"/>
      <c r="H212" s="427"/>
      <c r="I212" s="427"/>
    </row>
    <row r="213" spans="1:9" ht="12.75">
      <c r="A213" s="402"/>
      <c r="B213" s="402"/>
      <c r="C213" s="12"/>
      <c r="D213" s="11"/>
      <c r="E213" s="11"/>
      <c r="F213" s="11"/>
      <c r="G213" s="11"/>
      <c r="H213" s="427"/>
      <c r="I213" s="427"/>
    </row>
    <row r="214" spans="1:9" ht="12.75">
      <c r="A214" s="402"/>
      <c r="B214" s="402"/>
      <c r="C214" s="12"/>
      <c r="D214" s="11"/>
      <c r="E214" s="11"/>
      <c r="F214" s="11"/>
      <c r="G214" s="11"/>
      <c r="H214" s="427"/>
      <c r="I214" s="427"/>
    </row>
    <row r="215" ht="15">
      <c r="A215" s="1"/>
    </row>
    <row r="216" spans="1:9" ht="14.25" customHeight="1">
      <c r="A216" s="444" t="s">
        <v>25</v>
      </c>
      <c r="B216" s="444"/>
      <c r="C216" s="444"/>
      <c r="D216" s="444"/>
      <c r="E216" s="444"/>
      <c r="F216" s="444"/>
      <c r="G216" s="444"/>
      <c r="H216" s="444"/>
      <c r="I216" s="444"/>
    </row>
    <row r="217" spans="1:9" ht="72.75" customHeight="1">
      <c r="A217" s="14" t="s">
        <v>20</v>
      </c>
      <c r="B217" s="8" t="s">
        <v>0</v>
      </c>
      <c r="C217" s="14" t="s">
        <v>1</v>
      </c>
      <c r="D217" s="14" t="s">
        <v>14</v>
      </c>
      <c r="E217" s="14" t="s">
        <v>15</v>
      </c>
      <c r="F217" s="14" t="s">
        <v>29</v>
      </c>
      <c r="G217" s="14" t="s">
        <v>30</v>
      </c>
      <c r="H217" s="14" t="s">
        <v>31</v>
      </c>
      <c r="I217" s="14" t="s">
        <v>32</v>
      </c>
    </row>
    <row r="218" spans="1:9" ht="13.5" thickBot="1">
      <c r="A218" s="17">
        <v>1</v>
      </c>
      <c r="B218" s="17">
        <v>2</v>
      </c>
      <c r="C218" s="16">
        <v>3</v>
      </c>
      <c r="D218" s="16">
        <v>4</v>
      </c>
      <c r="E218" s="16">
        <v>5</v>
      </c>
      <c r="F218" s="16">
        <v>6</v>
      </c>
      <c r="G218" s="16">
        <v>7</v>
      </c>
      <c r="H218" s="16">
        <v>8</v>
      </c>
      <c r="I218" s="16">
        <v>9</v>
      </c>
    </row>
    <row r="219" spans="1:9" ht="13.5" hidden="1" thickTop="1">
      <c r="A219" s="24"/>
      <c r="B219" s="26"/>
      <c r="C219" s="26" t="s">
        <v>10</v>
      </c>
      <c r="D219" s="24"/>
      <c r="E219" s="24"/>
      <c r="F219" s="24"/>
      <c r="G219" s="24"/>
      <c r="H219" s="24"/>
      <c r="I219" s="24"/>
    </row>
    <row r="220" spans="1:9" ht="13.5" hidden="1" thickTop="1">
      <c r="A220" s="18"/>
      <c r="B220" s="12"/>
      <c r="C220" s="12" t="s">
        <v>26</v>
      </c>
      <c r="D220" s="18"/>
      <c r="E220" s="18"/>
      <c r="F220" s="18"/>
      <c r="G220" s="18"/>
      <c r="H220" s="18"/>
      <c r="I220" s="18"/>
    </row>
    <row r="221" spans="1:9" ht="13.5" hidden="1" thickTop="1">
      <c r="A221" s="18"/>
      <c r="B221" s="12"/>
      <c r="C221" s="12" t="s">
        <v>16</v>
      </c>
      <c r="D221" s="18"/>
      <c r="E221" s="18"/>
      <c r="F221" s="18"/>
      <c r="G221" s="18"/>
      <c r="H221" s="18"/>
      <c r="I221" s="18"/>
    </row>
    <row r="222" spans="1:9" ht="13.5" hidden="1" thickTop="1">
      <c r="A222" s="18"/>
      <c r="B222" s="12"/>
      <c r="C222" s="12" t="s">
        <v>2</v>
      </c>
      <c r="D222" s="18"/>
      <c r="E222" s="18"/>
      <c r="F222" s="18"/>
      <c r="G222" s="18"/>
      <c r="H222" s="18"/>
      <c r="I222" s="18"/>
    </row>
    <row r="223" spans="1:9" ht="13.5" hidden="1" thickTop="1">
      <c r="A223" s="18"/>
      <c r="B223" s="12"/>
      <c r="C223" s="12" t="s">
        <v>17</v>
      </c>
      <c r="D223" s="18"/>
      <c r="E223" s="18"/>
      <c r="F223" s="18"/>
      <c r="G223" s="18"/>
      <c r="H223" s="18"/>
      <c r="I223" s="18"/>
    </row>
    <row r="224" spans="1:9" ht="13.5" hidden="1" thickTop="1">
      <c r="A224" s="18"/>
      <c r="B224" s="12"/>
      <c r="C224" s="12" t="s">
        <v>2</v>
      </c>
      <c r="D224" s="18"/>
      <c r="E224" s="18"/>
      <c r="F224" s="18"/>
      <c r="G224" s="18"/>
      <c r="H224" s="18"/>
      <c r="I224" s="18"/>
    </row>
    <row r="225" spans="1:9" ht="13.5" hidden="1" thickTop="1">
      <c r="A225" s="18"/>
      <c r="B225" s="12"/>
      <c r="C225" s="12" t="s">
        <v>18</v>
      </c>
      <c r="D225" s="18"/>
      <c r="E225" s="18"/>
      <c r="F225" s="18"/>
      <c r="G225" s="18"/>
      <c r="H225" s="18"/>
      <c r="I225" s="18"/>
    </row>
    <row r="226" spans="1:9" ht="13.5" hidden="1" thickTop="1">
      <c r="A226" s="18"/>
      <c r="B226" s="12"/>
      <c r="C226" s="12" t="s">
        <v>33</v>
      </c>
      <c r="D226" s="18"/>
      <c r="E226" s="18"/>
      <c r="F226" s="18"/>
      <c r="G226" s="18"/>
      <c r="H226" s="18"/>
      <c r="I226" s="18"/>
    </row>
    <row r="227" spans="1:9" ht="13.5" hidden="1" thickTop="1">
      <c r="A227" s="18"/>
      <c r="B227" s="12"/>
      <c r="C227" s="12" t="s">
        <v>19</v>
      </c>
      <c r="D227" s="18"/>
      <c r="E227" s="18"/>
      <c r="F227" s="18"/>
      <c r="G227" s="18"/>
      <c r="H227" s="18"/>
      <c r="I227" s="18"/>
    </row>
    <row r="228" spans="1:9" ht="13.5" hidden="1" thickTop="1">
      <c r="A228" s="18"/>
      <c r="B228" s="12"/>
      <c r="C228" s="12" t="s">
        <v>2</v>
      </c>
      <c r="D228" s="18"/>
      <c r="E228" s="18"/>
      <c r="F228" s="18"/>
      <c r="G228" s="18"/>
      <c r="H228" s="18"/>
      <c r="I228" s="18"/>
    </row>
    <row r="229" spans="1:9" ht="13.5" hidden="1" thickTop="1">
      <c r="A229" s="18"/>
      <c r="B229" s="13"/>
      <c r="C229" s="13" t="s">
        <v>11</v>
      </c>
      <c r="D229" s="18"/>
      <c r="E229" s="18"/>
      <c r="F229" s="18"/>
      <c r="G229" s="18"/>
      <c r="H229" s="18"/>
      <c r="I229" s="18"/>
    </row>
    <row r="230" spans="1:9" ht="13.5" thickTop="1">
      <c r="A230" s="18"/>
      <c r="B230" s="12"/>
      <c r="C230" s="12" t="s">
        <v>2</v>
      </c>
      <c r="D230" s="18"/>
      <c r="E230" s="18"/>
      <c r="F230" s="18"/>
      <c r="G230" s="18"/>
      <c r="H230" s="18"/>
      <c r="I230" s="18"/>
    </row>
    <row r="231" ht="12.75">
      <c r="A231" s="22"/>
    </row>
    <row r="232" spans="1:9" ht="30.75" customHeight="1">
      <c r="A232" s="444" t="s">
        <v>34</v>
      </c>
      <c r="B232" s="444"/>
      <c r="C232" s="444"/>
      <c r="D232" s="444"/>
      <c r="E232" s="444"/>
      <c r="F232" s="444"/>
      <c r="G232" s="444"/>
      <c r="H232" s="444"/>
      <c r="I232" s="444"/>
    </row>
    <row r="233" spans="1:9" ht="15">
      <c r="A233" s="446"/>
      <c r="B233" s="446"/>
      <c r="C233" s="446"/>
      <c r="D233" s="446"/>
      <c r="E233" s="446"/>
      <c r="F233" s="446"/>
      <c r="G233" s="446"/>
      <c r="H233" s="446"/>
      <c r="I233" s="446"/>
    </row>
    <row r="234" spans="1:9" ht="15">
      <c r="A234" s="442" t="s">
        <v>213</v>
      </c>
      <c r="B234" s="442"/>
      <c r="C234" s="442"/>
      <c r="D234" s="442"/>
      <c r="E234" s="442"/>
      <c r="F234" s="442"/>
      <c r="G234" s="442"/>
      <c r="H234" s="442"/>
      <c r="I234" s="442"/>
    </row>
    <row r="235" spans="1:9" ht="12.75">
      <c r="A235" s="2" t="s">
        <v>35</v>
      </c>
      <c r="I235" s="2" t="s">
        <v>4</v>
      </c>
    </row>
    <row r="236" spans="1:9" s="19" customFormat="1" ht="12.75">
      <c r="A236" s="443" t="s">
        <v>3</v>
      </c>
      <c r="B236" s="443"/>
      <c r="C236" s="23"/>
      <c r="D236" s="18"/>
      <c r="E236" s="18"/>
      <c r="F236" s="18"/>
      <c r="G236" s="18"/>
      <c r="H236" s="443"/>
      <c r="I236" s="443"/>
    </row>
    <row r="237" ht="12.75">
      <c r="A237" s="4"/>
    </row>
    <row r="238" ht="12.75">
      <c r="A238" s="4"/>
    </row>
    <row r="239" spans="1:9" ht="18.75" customHeight="1">
      <c r="A239" s="393" t="s">
        <v>159</v>
      </c>
      <c r="B239" s="393"/>
      <c r="C239" s="393"/>
      <c r="E239" s="392" t="s">
        <v>8</v>
      </c>
      <c r="F239" s="392"/>
      <c r="H239" s="392" t="s">
        <v>108</v>
      </c>
      <c r="I239" s="392"/>
    </row>
    <row r="240" spans="1:9" ht="15">
      <c r="A240" s="5"/>
      <c r="B240" s="5"/>
      <c r="E240" s="431" t="s">
        <v>5</v>
      </c>
      <c r="F240" s="431"/>
      <c r="H240" s="431" t="s">
        <v>6</v>
      </c>
      <c r="I240" s="431"/>
    </row>
    <row r="241" spans="1:8" ht="12.75" customHeight="1">
      <c r="A241" s="10"/>
      <c r="B241" s="10"/>
      <c r="E241" s="9"/>
      <c r="H241" s="9"/>
    </row>
    <row r="242" spans="1:9" ht="18.75" customHeight="1">
      <c r="A242" s="393" t="s">
        <v>107</v>
      </c>
      <c r="B242" s="393"/>
      <c r="C242" s="393"/>
      <c r="E242" s="392" t="s">
        <v>8</v>
      </c>
      <c r="F242" s="392"/>
      <c r="H242" s="392" t="s">
        <v>109</v>
      </c>
      <c r="I242" s="392"/>
    </row>
    <row r="243" spans="1:9" ht="15">
      <c r="A243" s="5"/>
      <c r="E243" s="431" t="s">
        <v>5</v>
      </c>
      <c r="F243" s="431"/>
      <c r="H243" s="431" t="s">
        <v>6</v>
      </c>
      <c r="I243" s="431"/>
    </row>
    <row r="244" ht="12.75">
      <c r="A244" s="4"/>
    </row>
    <row r="245" ht="12.75">
      <c r="A245" s="4"/>
    </row>
  </sheetData>
  <sheetProtection/>
  <mergeCells count="233">
    <mergeCell ref="E184:G184"/>
    <mergeCell ref="C187:I187"/>
    <mergeCell ref="E196:G196"/>
    <mergeCell ref="E195:G195"/>
    <mergeCell ref="E194:G194"/>
    <mergeCell ref="E193:G193"/>
    <mergeCell ref="E192:G192"/>
    <mergeCell ref="E191:G191"/>
    <mergeCell ref="E189:G189"/>
    <mergeCell ref="E188:G188"/>
    <mergeCell ref="C157:I157"/>
    <mergeCell ref="E158:G158"/>
    <mergeCell ref="C167:I167"/>
    <mergeCell ref="E162:G162"/>
    <mergeCell ref="E163:G163"/>
    <mergeCell ref="E164:G164"/>
    <mergeCell ref="E165:G165"/>
    <mergeCell ref="E166:G166"/>
    <mergeCell ref="C147:I147"/>
    <mergeCell ref="E156:G156"/>
    <mergeCell ref="E155:G155"/>
    <mergeCell ref="E154:G154"/>
    <mergeCell ref="E153:G153"/>
    <mergeCell ref="E152:G152"/>
    <mergeCell ref="E148:G148"/>
    <mergeCell ref="E151:G151"/>
    <mergeCell ref="E150:G150"/>
    <mergeCell ref="E149:G149"/>
    <mergeCell ref="A1:I1"/>
    <mergeCell ref="A3:I3"/>
    <mergeCell ref="A4:I4"/>
    <mergeCell ref="B5:J5"/>
    <mergeCell ref="B6:J6"/>
    <mergeCell ref="B12:I12"/>
    <mergeCell ref="A14:B15"/>
    <mergeCell ref="C14:C15"/>
    <mergeCell ref="D14:D15"/>
    <mergeCell ref="E14:E15"/>
    <mergeCell ref="F14:G14"/>
    <mergeCell ref="H14:I15"/>
    <mergeCell ref="A133:I133"/>
    <mergeCell ref="A16:B16"/>
    <mergeCell ref="H16:I16"/>
    <mergeCell ref="H25:I25"/>
    <mergeCell ref="H26:I26"/>
    <mergeCell ref="H27:I27"/>
    <mergeCell ref="H28:I28"/>
    <mergeCell ref="H29:I29"/>
    <mergeCell ref="H30:I30"/>
    <mergeCell ref="H31:I31"/>
    <mergeCell ref="E134:G134"/>
    <mergeCell ref="E135:G135"/>
    <mergeCell ref="E136:G136"/>
    <mergeCell ref="C138:I138"/>
    <mergeCell ref="E139:G139"/>
    <mergeCell ref="C137:I137"/>
    <mergeCell ref="E140:G140"/>
    <mergeCell ref="E146:G146"/>
    <mergeCell ref="E145:G145"/>
    <mergeCell ref="E159:G159"/>
    <mergeCell ref="E160:G160"/>
    <mergeCell ref="E161:G161"/>
    <mergeCell ref="E144:G144"/>
    <mergeCell ref="E143:G143"/>
    <mergeCell ref="E142:G142"/>
    <mergeCell ref="E141:G141"/>
    <mergeCell ref="E171:G171"/>
    <mergeCell ref="E172:G172"/>
    <mergeCell ref="E173:G173"/>
    <mergeCell ref="E174:G174"/>
    <mergeCell ref="E176:G176"/>
    <mergeCell ref="C168:I168"/>
    <mergeCell ref="E175:G175"/>
    <mergeCell ref="E170:G170"/>
    <mergeCell ref="E169:G169"/>
    <mergeCell ref="E178:G178"/>
    <mergeCell ref="E179:G179"/>
    <mergeCell ref="E180:G180"/>
    <mergeCell ref="E181:G181"/>
    <mergeCell ref="E182:G182"/>
    <mergeCell ref="C177:I177"/>
    <mergeCell ref="E183:G183"/>
    <mergeCell ref="A198:I198"/>
    <mergeCell ref="A199:I199"/>
    <mergeCell ref="A200:I200"/>
    <mergeCell ref="A201:I201"/>
    <mergeCell ref="A203:B203"/>
    <mergeCell ref="H203:I203"/>
    <mergeCell ref="E186:G186"/>
    <mergeCell ref="E185:G185"/>
    <mergeCell ref="E190:G190"/>
    <mergeCell ref="A205:I205"/>
    <mergeCell ref="A207:B208"/>
    <mergeCell ref="C207:C208"/>
    <mergeCell ref="D207:E207"/>
    <mergeCell ref="F207:G207"/>
    <mergeCell ref="H207:I208"/>
    <mergeCell ref="A209:B209"/>
    <mergeCell ref="H209:I209"/>
    <mergeCell ref="A210:B210"/>
    <mergeCell ref="H210:I210"/>
    <mergeCell ref="A211:B211"/>
    <mergeCell ref="H211:I211"/>
    <mergeCell ref="A212:B212"/>
    <mergeCell ref="H212:I212"/>
    <mergeCell ref="A213:B213"/>
    <mergeCell ref="H213:I213"/>
    <mergeCell ref="A214:B214"/>
    <mergeCell ref="H214:I214"/>
    <mergeCell ref="A216:I216"/>
    <mergeCell ref="A232:I232"/>
    <mergeCell ref="A233:I233"/>
    <mergeCell ref="A234:I234"/>
    <mergeCell ref="A236:B236"/>
    <mergeCell ref="H236:I236"/>
    <mergeCell ref="A239:C239"/>
    <mergeCell ref="E239:F239"/>
    <mergeCell ref="H239:I239"/>
    <mergeCell ref="E240:F240"/>
    <mergeCell ref="H240:I240"/>
    <mergeCell ref="A242:C242"/>
    <mergeCell ref="E242:F242"/>
    <mergeCell ref="H242:I242"/>
    <mergeCell ref="E243:F243"/>
    <mergeCell ref="H243:I243"/>
    <mergeCell ref="H17:I17"/>
    <mergeCell ref="H18:I18"/>
    <mergeCell ref="H19:I19"/>
    <mergeCell ref="H20:I20"/>
    <mergeCell ref="H21:I21"/>
    <mergeCell ref="H22:I22"/>
    <mergeCell ref="H23:I23"/>
    <mergeCell ref="H24:I24"/>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81:I81"/>
    <mergeCell ref="H82:I82"/>
    <mergeCell ref="H83:I83"/>
    <mergeCell ref="H84:I84"/>
    <mergeCell ref="H85:I85"/>
    <mergeCell ref="H86:I86"/>
    <mergeCell ref="H87:I87"/>
    <mergeCell ref="H88:I88"/>
    <mergeCell ref="H89:I89"/>
    <mergeCell ref="H90:I90"/>
    <mergeCell ref="H91:I91"/>
    <mergeCell ref="H92:I92"/>
    <mergeCell ref="H93:I93"/>
    <mergeCell ref="H94:I94"/>
    <mergeCell ref="H95:I95"/>
    <mergeCell ref="H96:I96"/>
    <mergeCell ref="H97:I97"/>
    <mergeCell ref="H98:I98"/>
    <mergeCell ref="H99:I99"/>
    <mergeCell ref="H100:I100"/>
    <mergeCell ref="H101:I101"/>
    <mergeCell ref="H102:I102"/>
    <mergeCell ref="H103:I103"/>
    <mergeCell ref="H104:I104"/>
    <mergeCell ref="H105:I105"/>
    <mergeCell ref="H106:I106"/>
    <mergeCell ref="H107:I107"/>
    <mergeCell ref="H108:I108"/>
    <mergeCell ref="H109:I109"/>
    <mergeCell ref="H110:I110"/>
    <mergeCell ref="H111:I111"/>
    <mergeCell ref="H112:I112"/>
    <mergeCell ref="H113:I113"/>
    <mergeCell ref="H114:I114"/>
    <mergeCell ref="H115:I115"/>
    <mergeCell ref="H116:I116"/>
    <mergeCell ref="H117:I117"/>
    <mergeCell ref="H118:I118"/>
    <mergeCell ref="H119:I119"/>
    <mergeCell ref="H120:I120"/>
    <mergeCell ref="H121:I121"/>
    <mergeCell ref="H122:I122"/>
    <mergeCell ref="H123:I123"/>
    <mergeCell ref="H124:I124"/>
    <mergeCell ref="H131:I131"/>
    <mergeCell ref="H125:I125"/>
    <mergeCell ref="H126:I126"/>
    <mergeCell ref="H127:I127"/>
    <mergeCell ref="H128:I128"/>
    <mergeCell ref="H129:I129"/>
    <mergeCell ref="H130:I130"/>
  </mergeCells>
  <printOptions horizontalCentered="1"/>
  <pageMargins left="0.2362204724409449" right="0.15748031496062992" top="0.1968503937007874" bottom="0.15748031496062992" header="0.1968503937007874" footer="0.11811023622047245"/>
  <pageSetup fitToHeight="0" fitToWidth="1"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sheetPr>
    <tabColor theme="7" tint="0.5999900102615356"/>
    <pageSetUpPr fitToPage="1"/>
  </sheetPr>
  <dimension ref="A1:P251"/>
  <sheetViews>
    <sheetView view="pageBreakPreview" zoomScale="90" zoomScaleSheetLayoutView="90" zoomScalePageLayoutView="0" workbookViewId="0" topLeftCell="B7">
      <selection activeCell="G26" sqref="G26"/>
    </sheetView>
  </sheetViews>
  <sheetFormatPr defaultColWidth="9.00390625" defaultRowHeight="12.75"/>
  <cols>
    <col min="1" max="1" width="6.375" style="0" hidden="1" customWidth="1"/>
    <col min="2" max="2" width="7.625" style="0" customWidth="1"/>
    <col min="3" max="3" width="84.50390625" style="0" customWidth="1"/>
    <col min="4" max="4" width="8.375" style="0" customWidth="1"/>
    <col min="5" max="6" width="8.50390625" style="0" customWidth="1"/>
    <col min="7" max="7" width="11.375" style="0" customWidth="1"/>
    <col min="8" max="8" width="32.50390625" style="209" customWidth="1"/>
    <col min="9" max="9" width="32.375" style="0" customWidth="1"/>
    <col min="10" max="14" width="9.00390625" style="0" customWidth="1"/>
  </cols>
  <sheetData>
    <row r="1" spans="1:9" s="60" customFormat="1" ht="21" thickBot="1">
      <c r="A1" s="432" t="s">
        <v>217</v>
      </c>
      <c r="B1" s="432"/>
      <c r="C1" s="432"/>
      <c r="D1" s="432"/>
      <c r="E1" s="432"/>
      <c r="F1" s="432"/>
      <c r="G1" s="432"/>
      <c r="H1" s="432"/>
      <c r="I1" s="432"/>
    </row>
    <row r="2" spans="1:8" s="60" customFormat="1" ht="9.75" customHeight="1" thickTop="1">
      <c r="A2" s="70"/>
      <c r="H2" s="205"/>
    </row>
    <row r="3" spans="1:9" s="60" customFormat="1" ht="15.75">
      <c r="A3" s="433" t="s">
        <v>160</v>
      </c>
      <c r="B3" s="433"/>
      <c r="C3" s="433"/>
      <c r="D3" s="433"/>
      <c r="E3" s="433"/>
      <c r="F3" s="433"/>
      <c r="G3" s="433"/>
      <c r="H3" s="433"/>
      <c r="I3" s="433"/>
    </row>
    <row r="4" spans="1:9" s="60" customFormat="1" ht="12" customHeight="1">
      <c r="A4" s="434" t="s">
        <v>206</v>
      </c>
      <c r="B4" s="434"/>
      <c r="C4" s="434"/>
      <c r="D4" s="434"/>
      <c r="E4" s="434"/>
      <c r="F4" s="434"/>
      <c r="G4" s="434"/>
      <c r="H4" s="434"/>
      <c r="I4" s="434"/>
    </row>
    <row r="5" spans="1:10" s="60" customFormat="1" ht="12" customHeight="1">
      <c r="A5" s="112"/>
      <c r="B5" s="433" t="s">
        <v>205</v>
      </c>
      <c r="C5" s="433"/>
      <c r="D5" s="433"/>
      <c r="E5" s="433"/>
      <c r="F5" s="433"/>
      <c r="G5" s="433"/>
      <c r="H5" s="433"/>
      <c r="I5" s="433"/>
      <c r="J5" s="433"/>
    </row>
    <row r="6" spans="1:10" s="60" customFormat="1" ht="12" customHeight="1">
      <c r="A6" s="112"/>
      <c r="B6" s="434" t="s">
        <v>207</v>
      </c>
      <c r="C6" s="434"/>
      <c r="D6" s="434"/>
      <c r="E6" s="434"/>
      <c r="F6" s="434"/>
      <c r="G6" s="434"/>
      <c r="H6" s="434"/>
      <c r="I6" s="434"/>
      <c r="J6" s="434"/>
    </row>
    <row r="7" spans="1:9" s="60" customFormat="1" ht="12" customHeight="1">
      <c r="A7" s="112"/>
      <c r="B7" s="119"/>
      <c r="C7" s="116"/>
      <c r="D7" s="116"/>
      <c r="E7" s="116"/>
      <c r="F7" s="116"/>
      <c r="G7" s="116"/>
      <c r="H7" s="206"/>
      <c r="I7" s="116"/>
    </row>
    <row r="8" spans="1:9" s="60" customFormat="1" ht="12" customHeight="1">
      <c r="A8" s="112"/>
      <c r="B8" s="115" t="s">
        <v>246</v>
      </c>
      <c r="C8" s="116"/>
      <c r="D8" s="116"/>
      <c r="E8" s="116"/>
      <c r="F8" s="116"/>
      <c r="G8" s="116"/>
      <c r="H8" s="206"/>
      <c r="I8" s="116"/>
    </row>
    <row r="9" spans="1:9" s="60" customFormat="1" ht="12" customHeight="1">
      <c r="A9" s="112"/>
      <c r="B9" s="117"/>
      <c r="C9" s="118" t="s">
        <v>201</v>
      </c>
      <c r="D9" s="116"/>
      <c r="E9" s="120" t="s">
        <v>202</v>
      </c>
      <c r="F9" s="116"/>
      <c r="H9" s="206"/>
      <c r="I9" s="116"/>
    </row>
    <row r="10" spans="1:9" s="60" customFormat="1" ht="12" customHeight="1">
      <c r="A10" s="112"/>
      <c r="B10" s="121"/>
      <c r="C10" s="121"/>
      <c r="D10" s="121"/>
      <c r="E10" s="121"/>
      <c r="F10" s="121"/>
      <c r="G10" s="121"/>
      <c r="H10" s="207"/>
      <c r="I10" s="121"/>
    </row>
    <row r="11" spans="1:9" s="60" customFormat="1" ht="12" customHeight="1">
      <c r="A11" s="112"/>
      <c r="B11" s="115" t="s">
        <v>203</v>
      </c>
      <c r="C11" s="115"/>
      <c r="D11" s="115"/>
      <c r="E11" s="115"/>
      <c r="F11" s="115"/>
      <c r="G11" s="115"/>
      <c r="H11" s="208"/>
      <c r="I11" s="115"/>
    </row>
    <row r="12" spans="1:9" s="60" customFormat="1" ht="12" customHeight="1">
      <c r="A12" s="112"/>
      <c r="B12" s="400" t="s">
        <v>204</v>
      </c>
      <c r="C12" s="400"/>
      <c r="D12" s="400"/>
      <c r="E12" s="400"/>
      <c r="F12" s="400"/>
      <c r="G12" s="400"/>
      <c r="H12" s="400"/>
      <c r="I12" s="400"/>
    </row>
    <row r="13" spans="8:9" s="60" customFormat="1" ht="12.75">
      <c r="H13" s="205"/>
      <c r="I13" s="71" t="s">
        <v>4</v>
      </c>
    </row>
    <row r="14" spans="1:9" s="60" customFormat="1" ht="12.75">
      <c r="A14" s="417" t="s">
        <v>23</v>
      </c>
      <c r="B14" s="417"/>
      <c r="C14" s="417" t="s">
        <v>1</v>
      </c>
      <c r="D14" s="417" t="s">
        <v>175</v>
      </c>
      <c r="E14" s="417" t="s">
        <v>176</v>
      </c>
      <c r="F14" s="417" t="s">
        <v>177</v>
      </c>
      <c r="G14" s="417"/>
      <c r="H14" s="417" t="s">
        <v>208</v>
      </c>
      <c r="I14" s="417"/>
    </row>
    <row r="15" spans="1:9" s="60" customFormat="1" ht="27" customHeight="1">
      <c r="A15" s="417"/>
      <c r="B15" s="417"/>
      <c r="C15" s="417"/>
      <c r="D15" s="417"/>
      <c r="E15" s="417"/>
      <c r="F15" s="111" t="s">
        <v>24</v>
      </c>
      <c r="G15" s="111" t="s">
        <v>36</v>
      </c>
      <c r="H15" s="417"/>
      <c r="I15" s="417"/>
    </row>
    <row r="16" spans="1:9" s="60" customFormat="1" ht="13.5" thickBot="1">
      <c r="A16" s="415">
        <v>1</v>
      </c>
      <c r="B16" s="415"/>
      <c r="C16" s="113">
        <v>2</v>
      </c>
      <c r="D16" s="113">
        <v>3</v>
      </c>
      <c r="E16" s="113">
        <v>4</v>
      </c>
      <c r="F16" s="113">
        <v>5</v>
      </c>
      <c r="G16" s="113">
        <v>6</v>
      </c>
      <c r="H16" s="416">
        <v>7</v>
      </c>
      <c r="I16" s="416"/>
    </row>
    <row r="17" spans="2:9" s="165" customFormat="1" ht="26.25" thickTop="1">
      <c r="B17" s="169">
        <f>'2019-3 СВОД'!B834</f>
        <v>1115020</v>
      </c>
      <c r="C17" s="169" t="str">
        <f>'2019-3 СВОД'!C834</f>
        <v>Програма Здійснення фізкультурно-спортивної та реабілітаційної роботи серед осіб з інвалідністю </v>
      </c>
      <c r="D17" s="166">
        <f>D18+D75</f>
        <v>4809.8</v>
      </c>
      <c r="E17" s="166">
        <f>E18+E75</f>
        <v>5777.3</v>
      </c>
      <c r="F17" s="166">
        <f>F18+F75</f>
        <v>6235</v>
      </c>
      <c r="G17" s="166">
        <f>G18+G75</f>
        <v>901.4</v>
      </c>
      <c r="H17" s="428"/>
      <c r="I17" s="428"/>
    </row>
    <row r="18" spans="2:9" s="156" customFormat="1" ht="25.5">
      <c r="B18" s="154">
        <f>'2019-3 СВОД'!B835</f>
        <v>1115021</v>
      </c>
      <c r="C18" s="154" t="str">
        <f>'2019-3 СВОД'!C835</f>
        <v>Підпрограма Утримання центрів з фізичної культури і спорту осіб з інвалідністю та реабілітаційних шкіл</v>
      </c>
      <c r="D18" s="124">
        <f>D19+D54</f>
        <v>4191.43</v>
      </c>
      <c r="E18" s="124">
        <f>E19+E54</f>
        <v>4844.8</v>
      </c>
      <c r="F18" s="124">
        <f>F19+F54</f>
        <v>5154.3</v>
      </c>
      <c r="G18" s="124">
        <f>G19+G54</f>
        <v>801.4</v>
      </c>
      <c r="H18" s="464"/>
      <c r="I18" s="465"/>
    </row>
    <row r="19" spans="1:9" ht="12.75">
      <c r="A19" s="6"/>
      <c r="B19" s="27">
        <v>2000</v>
      </c>
      <c r="C19" s="28" t="s">
        <v>37</v>
      </c>
      <c r="D19" s="33">
        <f>D20+D25+D42+D45+D49+D53</f>
        <v>4166.43</v>
      </c>
      <c r="E19" s="33">
        <f>E20+E25+E42+E45+E49+E53</f>
        <v>4789.3</v>
      </c>
      <c r="F19" s="33">
        <f>F20+F25+F42+F45+F49+F53</f>
        <v>5154.3</v>
      </c>
      <c r="G19" s="33">
        <f>G20+G25+G42+G45+G49+G53</f>
        <v>781.4</v>
      </c>
      <c r="H19" s="402"/>
      <c r="I19" s="402"/>
    </row>
    <row r="20" spans="1:9" ht="12.75" customHeight="1">
      <c r="A20" s="6"/>
      <c r="B20" s="29">
        <v>2100</v>
      </c>
      <c r="C20" s="30" t="s">
        <v>38</v>
      </c>
      <c r="D20" s="35">
        <f>D21+D24</f>
        <v>3673.44</v>
      </c>
      <c r="E20" s="35">
        <f>E21+E24</f>
        <v>4264.8</v>
      </c>
      <c r="F20" s="35">
        <f>F21+F24</f>
        <v>4683.7</v>
      </c>
      <c r="G20" s="35">
        <f>G21+G24</f>
        <v>672.6</v>
      </c>
      <c r="H20" s="403" t="s">
        <v>608</v>
      </c>
      <c r="I20" s="404"/>
    </row>
    <row r="21" spans="1:9" ht="12.75" customHeight="1">
      <c r="A21" s="6"/>
      <c r="B21" s="29">
        <v>2110</v>
      </c>
      <c r="C21" s="30" t="s">
        <v>39</v>
      </c>
      <c r="D21" s="35">
        <f>D22+D23</f>
        <v>3045.5</v>
      </c>
      <c r="E21" s="35">
        <f>E22+E23</f>
        <v>3519.1</v>
      </c>
      <c r="F21" s="35">
        <f>F22+F23</f>
        <v>3867.7</v>
      </c>
      <c r="G21" s="35">
        <f>G22+G23</f>
        <v>559.9</v>
      </c>
      <c r="H21" s="405"/>
      <c r="I21" s="406"/>
    </row>
    <row r="22" spans="1:9" ht="12.75" customHeight="1">
      <c r="A22" s="6"/>
      <c r="B22" s="29">
        <v>2111</v>
      </c>
      <c r="C22" s="30" t="s">
        <v>42</v>
      </c>
      <c r="D22" s="34">
        <f>'2019-3 СВОД'!D839</f>
        <v>3045.5</v>
      </c>
      <c r="E22" s="34">
        <f>'2019-3 СВОД'!E839</f>
        <v>3519.1</v>
      </c>
      <c r="F22" s="34">
        <f>'2019-3 СВОД'!F839</f>
        <v>3867.7</v>
      </c>
      <c r="G22" s="34">
        <f>'2019-3 СВОД'!G839</f>
        <v>559.9</v>
      </c>
      <c r="H22" s="405"/>
      <c r="I22" s="406"/>
    </row>
    <row r="23" spans="1:9" ht="12.75" customHeight="1" hidden="1">
      <c r="A23" s="6"/>
      <c r="B23" s="29">
        <v>2112</v>
      </c>
      <c r="C23" s="30" t="s">
        <v>43</v>
      </c>
      <c r="D23" s="34">
        <f>'2019-3 СВОД'!D840</f>
        <v>0</v>
      </c>
      <c r="E23" s="34">
        <f>'2019-3 СВОД'!E840</f>
        <v>0</v>
      </c>
      <c r="F23" s="34">
        <f>'2019-3 СВОД'!F840</f>
        <v>0</v>
      </c>
      <c r="G23" s="34">
        <f>'2019-3 СВОД'!G840</f>
        <v>0</v>
      </c>
      <c r="H23" s="405"/>
      <c r="I23" s="406"/>
    </row>
    <row r="24" spans="1:9" ht="12.75" customHeight="1">
      <c r="A24" s="6"/>
      <c r="B24" s="29">
        <v>2120</v>
      </c>
      <c r="C24" s="30" t="s">
        <v>44</v>
      </c>
      <c r="D24" s="34">
        <f>'2019-3 СВОД'!D841</f>
        <v>627.94</v>
      </c>
      <c r="E24" s="34">
        <f>'2019-3 СВОД'!E841</f>
        <v>745.7</v>
      </c>
      <c r="F24" s="34">
        <f>'2019-3 СВОД'!F841</f>
        <v>816</v>
      </c>
      <c r="G24" s="34">
        <f>'2019-3 СВОД'!G841</f>
        <v>112.7</v>
      </c>
      <c r="H24" s="407"/>
      <c r="I24" s="408"/>
    </row>
    <row r="25" spans="1:9" ht="12.75" customHeight="1">
      <c r="A25" s="6"/>
      <c r="B25" s="27">
        <v>2200</v>
      </c>
      <c r="C25" s="28" t="s">
        <v>45</v>
      </c>
      <c r="D25" s="33">
        <f>SUM(D26:D32)+D39</f>
        <v>492.99</v>
      </c>
      <c r="E25" s="33">
        <f>SUM(E26:E32)+E39</f>
        <v>524.5</v>
      </c>
      <c r="F25" s="33">
        <f>SUM(F26:F32)+F39</f>
        <v>470.59999999999997</v>
      </c>
      <c r="G25" s="33">
        <f>SUM(G26:G32)+G39</f>
        <v>108.8</v>
      </c>
      <c r="H25" s="402"/>
      <c r="I25" s="402"/>
    </row>
    <row r="26" spans="1:9" ht="23.25" customHeight="1">
      <c r="A26" s="6"/>
      <c r="B26" s="29">
        <v>2210</v>
      </c>
      <c r="C26" s="30" t="s">
        <v>46</v>
      </c>
      <c r="D26" s="34">
        <f>'2019-3 СВОД'!D843</f>
        <v>370.7</v>
      </c>
      <c r="E26" s="34">
        <f>'2019-3 СВОД'!E843</f>
        <v>336.6</v>
      </c>
      <c r="F26" s="34">
        <f>'2019-3 СВОД'!F843</f>
        <v>249.2</v>
      </c>
      <c r="G26" s="34">
        <f>'2019-3 СВОД'!G843</f>
        <v>108.8</v>
      </c>
      <c r="H26" s="402" t="s">
        <v>595</v>
      </c>
      <c r="I26" s="402"/>
    </row>
    <row r="27" spans="1:9" ht="12.75" customHeight="1" hidden="1">
      <c r="A27" s="6"/>
      <c r="B27" s="29">
        <v>2220</v>
      </c>
      <c r="C27" s="30" t="s">
        <v>47</v>
      </c>
      <c r="D27" s="34">
        <f>'2019-3 СВОД'!D844</f>
        <v>0</v>
      </c>
      <c r="E27" s="34">
        <f>'2019-3 СВОД'!E844</f>
        <v>0</v>
      </c>
      <c r="F27" s="34">
        <f>'2019-3 СВОД'!F844</f>
        <v>0</v>
      </c>
      <c r="G27" s="34">
        <f>'2019-3 СВОД'!G844</f>
        <v>0</v>
      </c>
      <c r="H27" s="402"/>
      <c r="I27" s="402"/>
    </row>
    <row r="28" spans="1:9" ht="12.75" customHeight="1" hidden="1">
      <c r="A28" s="6"/>
      <c r="B28" s="29">
        <v>2230</v>
      </c>
      <c r="C28" s="30" t="s">
        <v>48</v>
      </c>
      <c r="D28" s="34">
        <f>'2019-3 СВОД'!D845</f>
        <v>0</v>
      </c>
      <c r="E28" s="34">
        <f>'2019-3 СВОД'!E845</f>
        <v>0</v>
      </c>
      <c r="F28" s="34">
        <f>'2019-3 СВОД'!F845</f>
        <v>0</v>
      </c>
      <c r="G28" s="34">
        <f>'2019-3 СВОД'!G845</f>
        <v>0</v>
      </c>
      <c r="H28" s="402"/>
      <c r="I28" s="402"/>
    </row>
    <row r="29" spans="1:9" ht="12.75" customHeight="1">
      <c r="A29" s="6"/>
      <c r="B29" s="29">
        <v>2240</v>
      </c>
      <c r="C29" s="30" t="s">
        <v>49</v>
      </c>
      <c r="D29" s="34">
        <f>'2019-3 СВОД'!D846</f>
        <v>40.94</v>
      </c>
      <c r="E29" s="34">
        <f>'2019-3 СВОД'!E846</f>
        <v>54.4</v>
      </c>
      <c r="F29" s="34">
        <f>'2019-3 СВОД'!F846</f>
        <v>60.3</v>
      </c>
      <c r="G29" s="34">
        <f>'2019-3 СВОД'!G846</f>
        <v>0</v>
      </c>
      <c r="H29" s="402"/>
      <c r="I29" s="402"/>
    </row>
    <row r="30" spans="1:9" ht="12.75" customHeight="1">
      <c r="A30" s="6"/>
      <c r="B30" s="29">
        <v>2250</v>
      </c>
      <c r="C30" s="30" t="s">
        <v>50</v>
      </c>
      <c r="D30" s="34">
        <f>'2019-3 СВОД'!D847</f>
        <v>20.7</v>
      </c>
      <c r="E30" s="34">
        <f>'2019-3 СВОД'!E847</f>
        <v>25.4</v>
      </c>
      <c r="F30" s="34">
        <f>'2019-3 СВОД'!F847</f>
        <v>39.4</v>
      </c>
      <c r="G30" s="34">
        <f>'2019-3 СВОД'!G847</f>
        <v>0</v>
      </c>
      <c r="H30" s="402"/>
      <c r="I30" s="402"/>
    </row>
    <row r="31" spans="1:9" ht="12.75" customHeight="1" hidden="1">
      <c r="A31" s="6"/>
      <c r="B31" s="29">
        <v>2260</v>
      </c>
      <c r="C31" s="30" t="s">
        <v>51</v>
      </c>
      <c r="D31" s="34">
        <f>'2019-3 СВОД'!D848</f>
        <v>0</v>
      </c>
      <c r="E31" s="34">
        <f>'2019-3 СВОД'!E848</f>
        <v>0</v>
      </c>
      <c r="F31" s="34">
        <f>'2019-3 СВОД'!F848</f>
        <v>0</v>
      </c>
      <c r="G31" s="34">
        <f>'2019-3 СВОД'!G848</f>
        <v>0</v>
      </c>
      <c r="H31" s="402"/>
      <c r="I31" s="402"/>
    </row>
    <row r="32" spans="1:9" ht="12.75" customHeight="1">
      <c r="A32" s="6"/>
      <c r="B32" s="27">
        <v>2270</v>
      </c>
      <c r="C32" s="28" t="s">
        <v>52</v>
      </c>
      <c r="D32" s="33">
        <f>D33+D34+D35+D36+D37+D38</f>
        <v>58.900000000000006</v>
      </c>
      <c r="E32" s="33">
        <f>E33+E34+E35+E36+E37+E38</f>
        <v>92.1</v>
      </c>
      <c r="F32" s="33">
        <f>F33+F34+F35+F36+F37+F38</f>
        <v>100.4</v>
      </c>
      <c r="G32" s="33">
        <f>G33+G34+G35+G36+G37+G38</f>
        <v>0</v>
      </c>
      <c r="H32" s="402"/>
      <c r="I32" s="402"/>
    </row>
    <row r="33" spans="1:9" ht="12.75" customHeight="1" hidden="1">
      <c r="A33" s="6"/>
      <c r="B33" s="29">
        <v>2271</v>
      </c>
      <c r="C33" s="30" t="s">
        <v>53</v>
      </c>
      <c r="D33" s="34">
        <f>'2019-3 СВОД'!D850</f>
        <v>0</v>
      </c>
      <c r="E33" s="34">
        <f>'2019-3 СВОД'!E850</f>
        <v>0</v>
      </c>
      <c r="F33" s="34">
        <f>'2019-3 СВОД'!F850</f>
        <v>0</v>
      </c>
      <c r="G33" s="34">
        <f>'2019-3 СВОД'!G850</f>
        <v>0</v>
      </c>
      <c r="H33" s="402"/>
      <c r="I33" s="402"/>
    </row>
    <row r="34" spans="1:9" ht="12.75" customHeight="1">
      <c r="A34" s="6"/>
      <c r="B34" s="29">
        <v>2272</v>
      </c>
      <c r="C34" s="30" t="s">
        <v>54</v>
      </c>
      <c r="D34" s="34">
        <f>'2019-3 СВОД'!D851</f>
        <v>2.86</v>
      </c>
      <c r="E34" s="34">
        <f>'2019-3 СВОД'!E851</f>
        <v>6.3</v>
      </c>
      <c r="F34" s="34">
        <f>'2019-3 СВОД'!F851</f>
        <v>6.6</v>
      </c>
      <c r="G34" s="34">
        <f>'2019-3 СВОД'!G851</f>
        <v>0</v>
      </c>
      <c r="H34" s="402"/>
      <c r="I34" s="402"/>
    </row>
    <row r="35" spans="1:9" ht="12.75" customHeight="1">
      <c r="A35" s="6"/>
      <c r="B35" s="29">
        <v>2273</v>
      </c>
      <c r="C35" s="30" t="s">
        <v>55</v>
      </c>
      <c r="D35" s="34">
        <f>'2019-3 СВОД'!D852</f>
        <v>21.66</v>
      </c>
      <c r="E35" s="34">
        <f>'2019-3 СВОД'!E852</f>
        <v>30.8</v>
      </c>
      <c r="F35" s="34">
        <f>'2019-3 СВОД'!F852</f>
        <v>32.8</v>
      </c>
      <c r="G35" s="34">
        <f>'2019-3 СВОД'!G852</f>
        <v>0</v>
      </c>
      <c r="H35" s="402"/>
      <c r="I35" s="402"/>
    </row>
    <row r="36" spans="1:9" ht="12.75" customHeight="1">
      <c r="A36" s="6"/>
      <c r="B36" s="29">
        <v>2274</v>
      </c>
      <c r="C36" s="30" t="s">
        <v>56</v>
      </c>
      <c r="D36" s="34">
        <f>'2019-3 СВОД'!D853</f>
        <v>34.38</v>
      </c>
      <c r="E36" s="34">
        <f>'2019-3 СВОД'!E853</f>
        <v>55</v>
      </c>
      <c r="F36" s="34">
        <f>'2019-3 СВОД'!F853</f>
        <v>61</v>
      </c>
      <c r="G36" s="34">
        <f>'2019-3 СВОД'!G853</f>
        <v>0</v>
      </c>
      <c r="H36" s="402"/>
      <c r="I36" s="402"/>
    </row>
    <row r="37" spans="1:9" ht="12.75" customHeight="1" hidden="1">
      <c r="A37" s="6"/>
      <c r="B37" s="29">
        <v>2275</v>
      </c>
      <c r="C37" s="30" t="s">
        <v>57</v>
      </c>
      <c r="D37" s="34">
        <f>'2019-3 СВОД'!D854</f>
        <v>0</v>
      </c>
      <c r="E37" s="34">
        <f>'2019-3 СВОД'!E854</f>
        <v>0</v>
      </c>
      <c r="F37" s="34">
        <f>'2019-3 СВОД'!F854</f>
        <v>0</v>
      </c>
      <c r="G37" s="34">
        <f>'2019-3 СВОД'!G854</f>
        <v>0</v>
      </c>
      <c r="H37" s="402"/>
      <c r="I37" s="402"/>
    </row>
    <row r="38" spans="1:9" ht="12.75" customHeight="1" hidden="1">
      <c r="A38" s="6"/>
      <c r="B38" s="31">
        <v>2276</v>
      </c>
      <c r="C38" s="32" t="s">
        <v>58</v>
      </c>
      <c r="D38" s="34">
        <f>'2019-3 СВОД'!D855</f>
        <v>0</v>
      </c>
      <c r="E38" s="34">
        <f>'2019-3 СВОД'!E855</f>
        <v>0</v>
      </c>
      <c r="F38" s="34">
        <f>'2019-3 СВОД'!F855</f>
        <v>0</v>
      </c>
      <c r="G38" s="34">
        <f>'2019-3 СВОД'!G855</f>
        <v>0</v>
      </c>
      <c r="H38" s="402"/>
      <c r="I38" s="402"/>
    </row>
    <row r="39" spans="1:9" ht="12.75">
      <c r="A39" s="6"/>
      <c r="B39" s="27">
        <v>2280</v>
      </c>
      <c r="C39" s="28" t="s">
        <v>59</v>
      </c>
      <c r="D39" s="33">
        <f>D40+D41</f>
        <v>1.75</v>
      </c>
      <c r="E39" s="33">
        <f>E40+E41</f>
        <v>16</v>
      </c>
      <c r="F39" s="33">
        <f>F40+F41</f>
        <v>21.3</v>
      </c>
      <c r="G39" s="33">
        <f>G40+G41</f>
        <v>0</v>
      </c>
      <c r="H39" s="402"/>
      <c r="I39" s="402"/>
    </row>
    <row r="40" spans="1:9" ht="12.75" hidden="1">
      <c r="A40" s="6"/>
      <c r="B40" s="29">
        <v>2281</v>
      </c>
      <c r="C40" s="30" t="s">
        <v>60</v>
      </c>
      <c r="D40" s="34">
        <f>'2019-3 СВОД'!D857</f>
        <v>0</v>
      </c>
      <c r="E40" s="34">
        <f>'2019-3 СВОД'!E857</f>
        <v>0</v>
      </c>
      <c r="F40" s="34">
        <f>'2019-3 СВОД'!F857</f>
        <v>0</v>
      </c>
      <c r="G40" s="34">
        <f>'2019-3 СВОД'!G857</f>
        <v>0</v>
      </c>
      <c r="H40" s="402"/>
      <c r="I40" s="402"/>
    </row>
    <row r="41" spans="1:9" ht="25.5">
      <c r="A41" s="6"/>
      <c r="B41" s="29">
        <v>2282</v>
      </c>
      <c r="C41" s="30" t="s">
        <v>61</v>
      </c>
      <c r="D41" s="34">
        <f>'2019-3 СВОД'!D858</f>
        <v>1.75</v>
      </c>
      <c r="E41" s="34">
        <f>'2019-3 СВОД'!E858</f>
        <v>16</v>
      </c>
      <c r="F41" s="34">
        <f>'2019-3 СВОД'!F858</f>
        <v>21.3</v>
      </c>
      <c r="G41" s="34">
        <f>'2019-3 СВОД'!G858</f>
        <v>0</v>
      </c>
      <c r="H41" s="402"/>
      <c r="I41" s="402"/>
    </row>
    <row r="42" spans="1:9" ht="12.75" customHeight="1" hidden="1">
      <c r="A42" s="6"/>
      <c r="B42" s="27">
        <v>2400</v>
      </c>
      <c r="C42" s="28" t="s">
        <v>62</v>
      </c>
      <c r="D42" s="34">
        <f>D43+D44</f>
        <v>0</v>
      </c>
      <c r="E42" s="34">
        <f>E43+E44</f>
        <v>0</v>
      </c>
      <c r="F42" s="34">
        <f>F43+F44</f>
        <v>0</v>
      </c>
      <c r="G42" s="34">
        <f>G43+G44</f>
        <v>0</v>
      </c>
      <c r="H42" s="402"/>
      <c r="I42" s="402"/>
    </row>
    <row r="43" spans="1:9" ht="12.75" customHeight="1" hidden="1">
      <c r="A43" s="6"/>
      <c r="B43" s="29">
        <v>2410</v>
      </c>
      <c r="C43" s="30" t="s">
        <v>63</v>
      </c>
      <c r="D43" s="34">
        <f>'2019-3 СВОД'!D860</f>
        <v>0</v>
      </c>
      <c r="E43" s="34">
        <f>'2019-3 СВОД'!E860</f>
        <v>0</v>
      </c>
      <c r="F43" s="34">
        <f>'2019-3 СВОД'!F860</f>
        <v>0</v>
      </c>
      <c r="G43" s="34">
        <f>'2019-3 СВОД'!G860</f>
        <v>0</v>
      </c>
      <c r="H43" s="402"/>
      <c r="I43" s="402"/>
    </row>
    <row r="44" spans="1:9" ht="12.75" customHeight="1" hidden="1">
      <c r="A44" s="6"/>
      <c r="B44" s="29">
        <v>2420</v>
      </c>
      <c r="C44" s="30" t="s">
        <v>64</v>
      </c>
      <c r="D44" s="34">
        <f>'2019-3 СВОД'!D861</f>
        <v>0</v>
      </c>
      <c r="E44" s="34">
        <f>'2019-3 СВОД'!E861</f>
        <v>0</v>
      </c>
      <c r="F44" s="34">
        <f>'2019-3 СВОД'!F861</f>
        <v>0</v>
      </c>
      <c r="G44" s="34">
        <f>'2019-3 СВОД'!G861</f>
        <v>0</v>
      </c>
      <c r="H44" s="402"/>
      <c r="I44" s="402"/>
    </row>
    <row r="45" spans="1:9" ht="12.75" customHeight="1" hidden="1">
      <c r="A45" s="6"/>
      <c r="B45" s="27">
        <v>2600</v>
      </c>
      <c r="C45" s="28" t="s">
        <v>65</v>
      </c>
      <c r="D45" s="33">
        <f>D46+D47+D48</f>
        <v>0</v>
      </c>
      <c r="E45" s="33">
        <f>E46+E47+E48</f>
        <v>0</v>
      </c>
      <c r="F45" s="33">
        <f>F46+F47+F48</f>
        <v>0</v>
      </c>
      <c r="G45" s="33">
        <f>G46+G47+G48</f>
        <v>0</v>
      </c>
      <c r="H45" s="402"/>
      <c r="I45" s="402"/>
    </row>
    <row r="46" spans="1:9" ht="12.75" hidden="1">
      <c r="A46" s="6"/>
      <c r="B46" s="29">
        <v>2610</v>
      </c>
      <c r="C46" s="30" t="s">
        <v>66</v>
      </c>
      <c r="D46" s="34">
        <f>'2019-3 СВОД'!D863</f>
        <v>0</v>
      </c>
      <c r="E46" s="34">
        <f>'2019-3 СВОД'!E863</f>
        <v>0</v>
      </c>
      <c r="F46" s="34">
        <f>'2019-3 СВОД'!F863</f>
        <v>0</v>
      </c>
      <c r="G46" s="34">
        <f>'2019-3 СВОД'!G863</f>
        <v>0</v>
      </c>
      <c r="H46" s="402"/>
      <c r="I46" s="402"/>
    </row>
    <row r="47" spans="1:9" ht="12.75" customHeight="1" hidden="1">
      <c r="A47" s="6"/>
      <c r="B47" s="29">
        <v>2620</v>
      </c>
      <c r="C47" s="30" t="s">
        <v>67</v>
      </c>
      <c r="D47" s="34">
        <f>'2019-3 СВОД'!D864</f>
        <v>0</v>
      </c>
      <c r="E47" s="34">
        <f>'2019-3 СВОД'!E864</f>
        <v>0</v>
      </c>
      <c r="F47" s="34">
        <f>'2019-3 СВОД'!F864</f>
        <v>0</v>
      </c>
      <c r="G47" s="34">
        <f>'2019-3 СВОД'!G864</f>
        <v>0</v>
      </c>
      <c r="H47" s="402"/>
      <c r="I47" s="402"/>
    </row>
    <row r="48" spans="1:9" ht="12.75" hidden="1">
      <c r="A48" s="6"/>
      <c r="B48" s="29">
        <v>2630</v>
      </c>
      <c r="C48" s="30" t="s">
        <v>68</v>
      </c>
      <c r="D48" s="34">
        <f>'2019-3 СВОД'!D865</f>
        <v>0</v>
      </c>
      <c r="E48" s="34">
        <f>'2019-3 СВОД'!E865</f>
        <v>0</v>
      </c>
      <c r="F48" s="34">
        <f>'2019-3 СВОД'!F865</f>
        <v>0</v>
      </c>
      <c r="G48" s="34">
        <f>'2019-3 СВОД'!G865</f>
        <v>0</v>
      </c>
      <c r="H48" s="402"/>
      <c r="I48" s="402"/>
    </row>
    <row r="49" spans="1:9" ht="12.75" customHeight="1" hidden="1">
      <c r="A49" s="6"/>
      <c r="B49" s="27">
        <v>2700</v>
      </c>
      <c r="C49" s="28" t="s">
        <v>69</v>
      </c>
      <c r="D49" s="33">
        <f>D50+D51+D52</f>
        <v>0</v>
      </c>
      <c r="E49" s="33">
        <f>E50+E51+E52</f>
        <v>0</v>
      </c>
      <c r="F49" s="33">
        <f>F50+F51+F52</f>
        <v>0</v>
      </c>
      <c r="G49" s="33">
        <f>G50+G51+G52</f>
        <v>0</v>
      </c>
      <c r="H49" s="402"/>
      <c r="I49" s="402"/>
    </row>
    <row r="50" spans="1:9" ht="12.75" customHeight="1" hidden="1">
      <c r="A50" s="6"/>
      <c r="B50" s="29">
        <v>2710</v>
      </c>
      <c r="C50" s="30" t="s">
        <v>70</v>
      </c>
      <c r="D50" s="34">
        <f>'2019-3 СВОД'!D867</f>
        <v>0</v>
      </c>
      <c r="E50" s="34">
        <f>'2019-3 СВОД'!E867</f>
        <v>0</v>
      </c>
      <c r="F50" s="34">
        <f>'2019-3 СВОД'!F867</f>
        <v>0</v>
      </c>
      <c r="G50" s="34">
        <f>'2019-3 СВОД'!G867</f>
        <v>0</v>
      </c>
      <c r="H50" s="402"/>
      <c r="I50" s="402"/>
    </row>
    <row r="51" spans="1:9" ht="12.75" customHeight="1" hidden="1">
      <c r="A51" s="6"/>
      <c r="B51" s="29">
        <v>2720</v>
      </c>
      <c r="C51" s="30" t="s">
        <v>71</v>
      </c>
      <c r="D51" s="34">
        <f>'2019-3 СВОД'!D868</f>
        <v>0</v>
      </c>
      <c r="E51" s="34">
        <f>'2019-3 СВОД'!E868</f>
        <v>0</v>
      </c>
      <c r="F51" s="34">
        <f>'2019-3 СВОД'!F868</f>
        <v>0</v>
      </c>
      <c r="G51" s="34">
        <f>'2019-3 СВОД'!G868</f>
        <v>0</v>
      </c>
      <c r="H51" s="402"/>
      <c r="I51" s="402"/>
    </row>
    <row r="52" spans="1:9" ht="12.75" customHeight="1" hidden="1">
      <c r="A52" s="6"/>
      <c r="B52" s="29">
        <v>2730</v>
      </c>
      <c r="C52" s="30" t="s">
        <v>72</v>
      </c>
      <c r="D52" s="34">
        <f>'2019-3 СВОД'!D869</f>
        <v>0</v>
      </c>
      <c r="E52" s="34">
        <f>'2019-3 СВОД'!E869</f>
        <v>0</v>
      </c>
      <c r="F52" s="34">
        <f>'2019-3 СВОД'!F869</f>
        <v>0</v>
      </c>
      <c r="G52" s="34">
        <f>'2019-3 СВОД'!G869</f>
        <v>0</v>
      </c>
      <c r="H52" s="402"/>
      <c r="I52" s="402"/>
    </row>
    <row r="53" spans="1:9" ht="12.75" customHeight="1" hidden="1">
      <c r="A53" s="6"/>
      <c r="B53" s="27">
        <v>2800</v>
      </c>
      <c r="C53" s="28" t="s">
        <v>73</v>
      </c>
      <c r="D53" s="34">
        <f>'2019-3 СВОД'!D870</f>
        <v>0</v>
      </c>
      <c r="E53" s="34">
        <f>'2019-3 СВОД'!E870</f>
        <v>0</v>
      </c>
      <c r="F53" s="34">
        <f>'2019-3 СВОД'!F870</f>
        <v>0</v>
      </c>
      <c r="G53" s="34">
        <f>'2019-3 СВОД'!G870</f>
        <v>0</v>
      </c>
      <c r="H53" s="402"/>
      <c r="I53" s="402"/>
    </row>
    <row r="54" spans="1:9" ht="12.75">
      <c r="A54" s="21"/>
      <c r="B54" s="27">
        <v>3000</v>
      </c>
      <c r="C54" s="28" t="s">
        <v>40</v>
      </c>
      <c r="D54" s="40">
        <f>D55+D69</f>
        <v>25</v>
      </c>
      <c r="E54" s="40">
        <f>E55+E69</f>
        <v>55.5</v>
      </c>
      <c r="F54" s="40">
        <f>F55+F69</f>
        <v>0</v>
      </c>
      <c r="G54" s="40">
        <f>G55+G69</f>
        <v>20</v>
      </c>
      <c r="H54" s="403" t="s">
        <v>598</v>
      </c>
      <c r="I54" s="404"/>
    </row>
    <row r="55" spans="1:9" ht="12.75">
      <c r="A55" s="21"/>
      <c r="B55" s="27">
        <v>3100</v>
      </c>
      <c r="C55" s="28" t="s">
        <v>41</v>
      </c>
      <c r="D55" s="40">
        <f>D56+D57+D60+D63+D67+D68+D69</f>
        <v>25</v>
      </c>
      <c r="E55" s="40">
        <f>E56+E57+E60+E63+E67+E68+E69</f>
        <v>55.5</v>
      </c>
      <c r="F55" s="40">
        <f>F56+F57+F60+F63+F67+F68+F69</f>
        <v>0</v>
      </c>
      <c r="G55" s="40">
        <f>G56+G57+G60+G63+G67+G68+G69</f>
        <v>20</v>
      </c>
      <c r="H55" s="405"/>
      <c r="I55" s="406"/>
    </row>
    <row r="56" spans="1:9" ht="12.75">
      <c r="A56" s="21"/>
      <c r="B56" s="29">
        <v>3110</v>
      </c>
      <c r="C56" s="30" t="s">
        <v>74</v>
      </c>
      <c r="D56" s="34">
        <f>'2019-3 СВОД'!D873</f>
        <v>25</v>
      </c>
      <c r="E56" s="34">
        <f>'2019-3 СВОД'!E873</f>
        <v>55.5</v>
      </c>
      <c r="F56" s="34">
        <f>'2019-3 СВОД'!F873</f>
        <v>0</v>
      </c>
      <c r="G56" s="34">
        <f>'2019-3 СВОД'!G873</f>
        <v>20</v>
      </c>
      <c r="H56" s="407"/>
      <c r="I56" s="408"/>
    </row>
    <row r="57" spans="1:9" ht="12.75" hidden="1">
      <c r="A57" s="21"/>
      <c r="B57" s="29">
        <v>3120</v>
      </c>
      <c r="C57" s="30" t="s">
        <v>75</v>
      </c>
      <c r="D57" s="40">
        <f>D58+D59</f>
        <v>0</v>
      </c>
      <c r="E57" s="40">
        <f>E58+E59</f>
        <v>0</v>
      </c>
      <c r="F57" s="40">
        <f>F58+F59</f>
        <v>0</v>
      </c>
      <c r="G57" s="40">
        <f>G58+G59</f>
        <v>0</v>
      </c>
      <c r="H57" s="402"/>
      <c r="I57" s="402"/>
    </row>
    <row r="58" spans="1:9" ht="12.75" hidden="1">
      <c r="A58" s="21"/>
      <c r="B58" s="29">
        <v>3121</v>
      </c>
      <c r="C58" s="30" t="s">
        <v>76</v>
      </c>
      <c r="D58" s="34">
        <f>'2019-3 СВОД'!D875</f>
        <v>0</v>
      </c>
      <c r="E58" s="34">
        <f>'2019-3 СВОД'!E875</f>
        <v>0</v>
      </c>
      <c r="F58" s="34">
        <f>'2019-3 СВОД'!F875</f>
        <v>0</v>
      </c>
      <c r="G58" s="34">
        <f>'2019-3 СВОД'!G875</f>
        <v>0</v>
      </c>
      <c r="H58" s="402"/>
      <c r="I58" s="402"/>
    </row>
    <row r="59" spans="1:9" ht="12.75" hidden="1">
      <c r="A59" s="21"/>
      <c r="B59" s="29">
        <v>3122</v>
      </c>
      <c r="C59" s="30" t="s">
        <v>77</v>
      </c>
      <c r="D59" s="34">
        <f>'2019-3 СВОД'!D876</f>
        <v>0</v>
      </c>
      <c r="E59" s="34">
        <f>'2019-3 СВОД'!E876</f>
        <v>0</v>
      </c>
      <c r="F59" s="34">
        <f>'2019-3 СВОД'!F876</f>
        <v>0</v>
      </c>
      <c r="G59" s="34">
        <f>'2019-3 СВОД'!G876</f>
        <v>0</v>
      </c>
      <c r="H59" s="402"/>
      <c r="I59" s="402"/>
    </row>
    <row r="60" spans="1:9" ht="12.75" hidden="1">
      <c r="A60" s="21"/>
      <c r="B60" s="29">
        <v>3130</v>
      </c>
      <c r="C60" s="30" t="s">
        <v>78</v>
      </c>
      <c r="D60" s="40">
        <f>D61+D62</f>
        <v>0</v>
      </c>
      <c r="E60" s="40">
        <f>E61+E62</f>
        <v>0</v>
      </c>
      <c r="F60" s="40">
        <f>F61+F62</f>
        <v>0</v>
      </c>
      <c r="G60" s="40">
        <f>G61+G62</f>
        <v>0</v>
      </c>
      <c r="H60" s="402"/>
      <c r="I60" s="402"/>
    </row>
    <row r="61" spans="1:9" ht="12.75" hidden="1">
      <c r="A61" s="21"/>
      <c r="B61" s="29">
        <v>3131</v>
      </c>
      <c r="C61" s="30" t="s">
        <v>79</v>
      </c>
      <c r="D61" s="34">
        <f>'2019-3 СВОД'!D878</f>
        <v>0</v>
      </c>
      <c r="E61" s="34">
        <f>'2019-3 СВОД'!E878</f>
        <v>0</v>
      </c>
      <c r="F61" s="34">
        <f>'2019-3 СВОД'!F878</f>
        <v>0</v>
      </c>
      <c r="G61" s="34">
        <f>'2019-3 СВОД'!G878</f>
        <v>0</v>
      </c>
      <c r="H61" s="402"/>
      <c r="I61" s="402"/>
    </row>
    <row r="62" spans="1:9" ht="12.75" hidden="1">
      <c r="A62" s="21"/>
      <c r="B62" s="29">
        <v>3132</v>
      </c>
      <c r="C62" s="30" t="s">
        <v>80</v>
      </c>
      <c r="D62" s="34">
        <f>'2019-3 СВОД'!D879</f>
        <v>0</v>
      </c>
      <c r="E62" s="34">
        <f>'2019-3 СВОД'!E879</f>
        <v>0</v>
      </c>
      <c r="F62" s="34">
        <f>'2019-3 СВОД'!F879</f>
        <v>0</v>
      </c>
      <c r="G62" s="34">
        <f>'2019-3 СВОД'!G879</f>
        <v>0</v>
      </c>
      <c r="H62" s="402"/>
      <c r="I62" s="402"/>
    </row>
    <row r="63" spans="1:9" ht="12.75" hidden="1">
      <c r="A63" s="21"/>
      <c r="B63" s="29">
        <v>3140</v>
      </c>
      <c r="C63" s="30" t="s">
        <v>81</v>
      </c>
      <c r="D63" s="40">
        <f>D64+D65+D66</f>
        <v>0</v>
      </c>
      <c r="E63" s="40">
        <f>E64+E65+E66</f>
        <v>0</v>
      </c>
      <c r="F63" s="40">
        <f>F64+F65+F66</f>
        <v>0</v>
      </c>
      <c r="G63" s="40">
        <f>G64+G65+G66</f>
        <v>0</v>
      </c>
      <c r="H63" s="402"/>
      <c r="I63" s="402"/>
    </row>
    <row r="64" spans="1:9" ht="12.75" hidden="1">
      <c r="A64" s="21"/>
      <c r="B64" s="29">
        <v>3141</v>
      </c>
      <c r="C64" s="30" t="s">
        <v>82</v>
      </c>
      <c r="D64" s="34">
        <f>'2019-3 СВОД'!D881</f>
        <v>0</v>
      </c>
      <c r="E64" s="34">
        <f>'2019-3 СВОД'!E881</f>
        <v>0</v>
      </c>
      <c r="F64" s="34">
        <f>'2019-3 СВОД'!F881</f>
        <v>0</v>
      </c>
      <c r="G64" s="34">
        <f>'2019-3 СВОД'!G881</f>
        <v>0</v>
      </c>
      <c r="H64" s="402"/>
      <c r="I64" s="402"/>
    </row>
    <row r="65" spans="1:9" ht="12.75" hidden="1">
      <c r="A65" s="21"/>
      <c r="B65" s="29">
        <v>3142</v>
      </c>
      <c r="C65" s="30" t="s">
        <v>83</v>
      </c>
      <c r="D65" s="34">
        <f>'2019-3 СВОД'!D882</f>
        <v>0</v>
      </c>
      <c r="E65" s="34">
        <f>'2019-3 СВОД'!E882</f>
        <v>0</v>
      </c>
      <c r="F65" s="34">
        <f>'2019-3 СВОД'!F882</f>
        <v>0</v>
      </c>
      <c r="G65" s="34">
        <f>'2019-3 СВОД'!G882</f>
        <v>0</v>
      </c>
      <c r="H65" s="402"/>
      <c r="I65" s="402"/>
    </row>
    <row r="66" spans="1:9" ht="12.75" hidden="1">
      <c r="A66" s="21"/>
      <c r="B66" s="29">
        <v>3143</v>
      </c>
      <c r="C66" s="30" t="s">
        <v>84</v>
      </c>
      <c r="D66" s="34">
        <f>'2019-3 СВОД'!D883</f>
        <v>0</v>
      </c>
      <c r="E66" s="34">
        <f>'2019-3 СВОД'!E883</f>
        <v>0</v>
      </c>
      <c r="F66" s="34">
        <f>'2019-3 СВОД'!F883</f>
        <v>0</v>
      </c>
      <c r="G66" s="34">
        <f>'2019-3 СВОД'!G883</f>
        <v>0</v>
      </c>
      <c r="H66" s="402"/>
      <c r="I66" s="402"/>
    </row>
    <row r="67" spans="1:9" ht="12.75" hidden="1">
      <c r="A67" s="21"/>
      <c r="B67" s="29">
        <v>3150</v>
      </c>
      <c r="C67" s="30" t="s">
        <v>85</v>
      </c>
      <c r="D67" s="34">
        <f>'2019-3 СВОД'!D884</f>
        <v>0</v>
      </c>
      <c r="E67" s="34">
        <f>'2019-3 СВОД'!E884</f>
        <v>0</v>
      </c>
      <c r="F67" s="34">
        <f>'2019-3 СВОД'!F884</f>
        <v>0</v>
      </c>
      <c r="G67" s="34">
        <f>'2019-3 СВОД'!G884</f>
        <v>0</v>
      </c>
      <c r="H67" s="402"/>
      <c r="I67" s="402"/>
    </row>
    <row r="68" spans="1:9" ht="12.75" hidden="1">
      <c r="A68" s="21"/>
      <c r="B68" s="29">
        <v>3160</v>
      </c>
      <c r="C68" s="30" t="s">
        <v>86</v>
      </c>
      <c r="D68" s="34">
        <f>'2019-3 СВОД'!D885</f>
        <v>0</v>
      </c>
      <c r="E68" s="34">
        <f>'2019-3 СВОД'!E885</f>
        <v>0</v>
      </c>
      <c r="F68" s="34">
        <f>'2019-3 СВОД'!F885</f>
        <v>0</v>
      </c>
      <c r="G68" s="34">
        <f>'2019-3 СВОД'!G885</f>
        <v>0</v>
      </c>
      <c r="H68" s="402"/>
      <c r="I68" s="402"/>
    </row>
    <row r="69" spans="1:9" ht="12.75" hidden="1">
      <c r="A69" s="21"/>
      <c r="B69" s="27">
        <v>3200</v>
      </c>
      <c r="C69" s="28" t="s">
        <v>87</v>
      </c>
      <c r="D69" s="40">
        <f>D70+D71+D72+D73</f>
        <v>0</v>
      </c>
      <c r="E69" s="40">
        <f>E70+E71+E72+E73</f>
        <v>0</v>
      </c>
      <c r="F69" s="40">
        <f>F70+F71+F72+F73</f>
        <v>0</v>
      </c>
      <c r="G69" s="40">
        <f>G70+G71+G72+G73</f>
        <v>0</v>
      </c>
      <c r="H69" s="402"/>
      <c r="I69" s="402"/>
    </row>
    <row r="70" spans="1:9" ht="12.75" hidden="1">
      <c r="A70" s="21"/>
      <c r="B70" s="29">
        <v>3210</v>
      </c>
      <c r="C70" s="30" t="s">
        <v>88</v>
      </c>
      <c r="D70" s="34">
        <f>'2019-3 СВОД'!D887</f>
        <v>0</v>
      </c>
      <c r="E70" s="34">
        <f>'2019-3 СВОД'!E887</f>
        <v>0</v>
      </c>
      <c r="F70" s="34">
        <f>'2019-3 СВОД'!F887</f>
        <v>0</v>
      </c>
      <c r="G70" s="34">
        <f>'2019-3 СВОД'!G887</f>
        <v>0</v>
      </c>
      <c r="H70" s="402"/>
      <c r="I70" s="402"/>
    </row>
    <row r="71" spans="1:9" ht="12.75" hidden="1">
      <c r="A71" s="21"/>
      <c r="B71" s="29">
        <v>3220</v>
      </c>
      <c r="C71" s="30" t="s">
        <v>89</v>
      </c>
      <c r="D71" s="34">
        <f>'2019-3 СВОД'!D888</f>
        <v>0</v>
      </c>
      <c r="E71" s="34">
        <f>'2019-3 СВОД'!E888</f>
        <v>0</v>
      </c>
      <c r="F71" s="34">
        <f>'2019-3 СВОД'!F888</f>
        <v>0</v>
      </c>
      <c r="G71" s="34">
        <f>'2019-3 СВОД'!G888</f>
        <v>0</v>
      </c>
      <c r="H71" s="402"/>
      <c r="I71" s="402"/>
    </row>
    <row r="72" spans="1:9" ht="12.75" hidden="1">
      <c r="A72" s="21"/>
      <c r="B72" s="29">
        <v>3230</v>
      </c>
      <c r="C72" s="30" t="s">
        <v>90</v>
      </c>
      <c r="D72" s="34">
        <f>'2019-3 СВОД'!D889</f>
        <v>0</v>
      </c>
      <c r="E72" s="34">
        <f>'2019-3 СВОД'!E889</f>
        <v>0</v>
      </c>
      <c r="F72" s="34">
        <f>'2019-3 СВОД'!F889</f>
        <v>0</v>
      </c>
      <c r="G72" s="34">
        <f>'2019-3 СВОД'!G889</f>
        <v>0</v>
      </c>
      <c r="H72" s="402"/>
      <c r="I72" s="402"/>
    </row>
    <row r="73" spans="1:9" ht="13.5" customHeight="1" hidden="1">
      <c r="A73" s="21"/>
      <c r="B73" s="29">
        <v>3240</v>
      </c>
      <c r="C73" s="30" t="s">
        <v>91</v>
      </c>
      <c r="D73" s="34">
        <f>'2019-3 СВОД'!D890</f>
        <v>0</v>
      </c>
      <c r="E73" s="34">
        <f>'2019-3 СВОД'!E890</f>
        <v>0</v>
      </c>
      <c r="F73" s="34">
        <f>'2019-3 СВОД'!F890</f>
        <v>0</v>
      </c>
      <c r="G73" s="34">
        <f>'2019-3 СВОД'!G890</f>
        <v>0</v>
      </c>
      <c r="H73" s="402"/>
      <c r="I73" s="402"/>
    </row>
    <row r="74" spans="1:9" s="19" customFormat="1" ht="13.5" customHeight="1">
      <c r="A74" s="7"/>
      <c r="B74" s="7"/>
      <c r="C74" s="20" t="s">
        <v>3</v>
      </c>
      <c r="D74" s="34">
        <f>D19+D54</f>
        <v>4191.43</v>
      </c>
      <c r="E74" s="34">
        <f>E19+E54</f>
        <v>4844.8</v>
      </c>
      <c r="F74" s="34">
        <f>F19+F54</f>
        <v>5154.3</v>
      </c>
      <c r="G74" s="34">
        <f>G19+G54</f>
        <v>801.4</v>
      </c>
      <c r="H74" s="402"/>
      <c r="I74" s="402"/>
    </row>
    <row r="75" spans="1:9" s="156" customFormat="1" ht="25.5">
      <c r="A75" s="154"/>
      <c r="B75" s="154">
        <f>'2019-3 СВОД'!B892</f>
        <v>1115022</v>
      </c>
      <c r="C75" s="154" t="str">
        <f>'2019-3 СВОД'!C892</f>
        <v>Підпрограма Проведення навчально-тренувальних зборів і змагань та заходів зі спорту для осіб з інвалідністю</v>
      </c>
      <c r="D75" s="170">
        <f>D76+D111</f>
        <v>618.37</v>
      </c>
      <c r="E75" s="170">
        <f>E76+E111</f>
        <v>932.5</v>
      </c>
      <c r="F75" s="170">
        <f>F76+F111</f>
        <v>1080.7</v>
      </c>
      <c r="G75" s="170">
        <f>G76+G111</f>
        <v>100</v>
      </c>
      <c r="H75" s="464"/>
      <c r="I75" s="465"/>
    </row>
    <row r="76" spans="1:9" ht="12.75">
      <c r="A76" s="6"/>
      <c r="B76" s="27">
        <v>2000</v>
      </c>
      <c r="C76" s="28" t="s">
        <v>37</v>
      </c>
      <c r="D76" s="33">
        <f>D77+D82+D99+D102+D106+D110</f>
        <v>618.37</v>
      </c>
      <c r="E76" s="33">
        <f>E77+E82+E99+E102+E106+E110</f>
        <v>932.5</v>
      </c>
      <c r="F76" s="33">
        <f>F77+F82+F99+F102+F106+F110</f>
        <v>1080.7</v>
      </c>
      <c r="G76" s="33">
        <f>G77+G82+G99+G102+G106+G110</f>
        <v>100</v>
      </c>
      <c r="H76" s="403" t="s">
        <v>596</v>
      </c>
      <c r="I76" s="404"/>
    </row>
    <row r="77" spans="1:9" ht="12.75" customHeight="1" hidden="1">
      <c r="A77" s="6"/>
      <c r="B77" s="29">
        <v>2100</v>
      </c>
      <c r="C77" s="30" t="s">
        <v>38</v>
      </c>
      <c r="D77" s="35">
        <f>D78+D81</f>
        <v>0</v>
      </c>
      <c r="E77" s="35">
        <f>E78+E81</f>
        <v>0</v>
      </c>
      <c r="F77" s="35">
        <f>F78+F81</f>
        <v>0</v>
      </c>
      <c r="G77" s="35">
        <f>G78+G81</f>
        <v>0</v>
      </c>
      <c r="H77" s="405"/>
      <c r="I77" s="406"/>
    </row>
    <row r="78" spans="1:9" ht="12.75" customHeight="1" hidden="1">
      <c r="A78" s="6"/>
      <c r="B78" s="29">
        <v>2110</v>
      </c>
      <c r="C78" s="30" t="s">
        <v>39</v>
      </c>
      <c r="D78" s="35">
        <f>D79+D80</f>
        <v>0</v>
      </c>
      <c r="E78" s="35">
        <f>E79+E80</f>
        <v>0</v>
      </c>
      <c r="F78" s="35">
        <f>F79+F80</f>
        <v>0</v>
      </c>
      <c r="G78" s="35">
        <f>G79+G80</f>
        <v>0</v>
      </c>
      <c r="H78" s="405"/>
      <c r="I78" s="406"/>
    </row>
    <row r="79" spans="1:9" ht="12.75" customHeight="1" hidden="1">
      <c r="A79" s="6"/>
      <c r="B79" s="29">
        <v>2111</v>
      </c>
      <c r="C79" s="30" t="s">
        <v>42</v>
      </c>
      <c r="D79" s="34">
        <f>'2019-3 СВОД'!D896</f>
        <v>0</v>
      </c>
      <c r="E79" s="34">
        <f>'2019-3 СВОД'!E896</f>
        <v>0</v>
      </c>
      <c r="F79" s="34">
        <f>'2019-3 СВОД'!F896</f>
        <v>0</v>
      </c>
      <c r="G79" s="34">
        <f>'2019-3 СВОД'!G896</f>
        <v>0</v>
      </c>
      <c r="H79" s="405"/>
      <c r="I79" s="406"/>
    </row>
    <row r="80" spans="1:9" ht="12.75" customHeight="1" hidden="1">
      <c r="A80" s="6"/>
      <c r="B80" s="29">
        <v>2112</v>
      </c>
      <c r="C80" s="30" t="s">
        <v>43</v>
      </c>
      <c r="D80" s="34">
        <f>'2019-3 СВОД'!D897</f>
        <v>0</v>
      </c>
      <c r="E80" s="34">
        <f>'2019-3 СВОД'!E897</f>
        <v>0</v>
      </c>
      <c r="F80" s="34">
        <f>'2019-3 СВОД'!F897</f>
        <v>0</v>
      </c>
      <c r="G80" s="34">
        <f>'2019-3 СВОД'!G897</f>
        <v>0</v>
      </c>
      <c r="H80" s="405"/>
      <c r="I80" s="406"/>
    </row>
    <row r="81" spans="1:9" ht="12.75" customHeight="1" hidden="1">
      <c r="A81" s="6"/>
      <c r="B81" s="29">
        <v>2120</v>
      </c>
      <c r="C81" s="30" t="s">
        <v>44</v>
      </c>
      <c r="D81" s="34">
        <f>'2019-3 СВОД'!D898</f>
        <v>0</v>
      </c>
      <c r="E81" s="34">
        <f>'2019-3 СВОД'!E898</f>
        <v>0</v>
      </c>
      <c r="F81" s="34">
        <f>'2019-3 СВОД'!F898</f>
        <v>0</v>
      </c>
      <c r="G81" s="34">
        <f>'2019-3 СВОД'!G898</f>
        <v>0</v>
      </c>
      <c r="H81" s="405"/>
      <c r="I81" s="406"/>
    </row>
    <row r="82" spans="1:9" ht="12.75" customHeight="1">
      <c r="A82" s="6"/>
      <c r="B82" s="27">
        <v>2200</v>
      </c>
      <c r="C82" s="28" t="s">
        <v>45</v>
      </c>
      <c r="D82" s="33">
        <f>SUM(D83:D89)+D96</f>
        <v>618.37</v>
      </c>
      <c r="E82" s="33">
        <f>SUM(E83:E89)+E96</f>
        <v>932.5</v>
      </c>
      <c r="F82" s="33">
        <f>SUM(F83:F89)+F96</f>
        <v>1080.7</v>
      </c>
      <c r="G82" s="33">
        <f>SUM(G83:G89)+G96</f>
        <v>100</v>
      </c>
      <c r="H82" s="405"/>
      <c r="I82" s="406"/>
    </row>
    <row r="83" spans="1:9" ht="12.75">
      <c r="A83" s="6"/>
      <c r="B83" s="29">
        <v>2210</v>
      </c>
      <c r="C83" s="30" t="s">
        <v>46</v>
      </c>
      <c r="D83" s="34">
        <f>'2019-3 СВОД'!D900</f>
        <v>3.5</v>
      </c>
      <c r="E83" s="34">
        <f>'2019-3 СВОД'!E900</f>
        <v>7.5</v>
      </c>
      <c r="F83" s="34">
        <f>'2019-3 СВОД'!F900</f>
        <v>6.2</v>
      </c>
      <c r="G83" s="34">
        <f>'2019-3 СВОД'!G900</f>
        <v>0</v>
      </c>
      <c r="H83" s="405"/>
      <c r="I83" s="406"/>
    </row>
    <row r="84" spans="1:9" ht="12.75" customHeight="1" hidden="1">
      <c r="A84" s="6"/>
      <c r="B84" s="29">
        <v>2220</v>
      </c>
      <c r="C84" s="30" t="s">
        <v>47</v>
      </c>
      <c r="D84" s="34">
        <f>'2019-3 СВОД'!D901</f>
        <v>0</v>
      </c>
      <c r="E84" s="34">
        <f>'2019-3 СВОД'!E901</f>
        <v>0</v>
      </c>
      <c r="F84" s="34">
        <f>'2019-3 СВОД'!F901</f>
        <v>0</v>
      </c>
      <c r="G84" s="34">
        <f>'2019-3 СВОД'!G901</f>
        <v>0</v>
      </c>
      <c r="H84" s="405"/>
      <c r="I84" s="406"/>
    </row>
    <row r="85" spans="1:9" ht="12.75" customHeight="1" hidden="1">
      <c r="A85" s="6"/>
      <c r="B85" s="29">
        <v>2230</v>
      </c>
      <c r="C85" s="30" t="s">
        <v>48</v>
      </c>
      <c r="D85" s="34">
        <f>'2019-3 СВОД'!D902</f>
        <v>0</v>
      </c>
      <c r="E85" s="34">
        <f>'2019-3 СВОД'!E902</f>
        <v>0</v>
      </c>
      <c r="F85" s="34">
        <f>'2019-3 СВОД'!F902</f>
        <v>0</v>
      </c>
      <c r="G85" s="34">
        <f>'2019-3 СВОД'!G902</f>
        <v>0</v>
      </c>
      <c r="H85" s="405"/>
      <c r="I85" s="406"/>
    </row>
    <row r="86" spans="1:9" ht="12.75" customHeight="1">
      <c r="A86" s="6"/>
      <c r="B86" s="29">
        <v>2240</v>
      </c>
      <c r="C86" s="30" t="s">
        <v>49</v>
      </c>
      <c r="D86" s="34">
        <f>'2019-3 СВОД'!D903</f>
        <v>354.25</v>
      </c>
      <c r="E86" s="34">
        <f>'2019-3 СВОД'!E903</f>
        <v>477.4</v>
      </c>
      <c r="F86" s="34">
        <f>'2019-3 СВОД'!F903</f>
        <v>591.1</v>
      </c>
      <c r="G86" s="34">
        <f>'2019-3 СВОД'!G903</f>
        <v>66.9</v>
      </c>
      <c r="H86" s="405"/>
      <c r="I86" s="406"/>
    </row>
    <row r="87" spans="1:9" ht="12.75" customHeight="1">
      <c r="A87" s="6"/>
      <c r="B87" s="29">
        <v>2250</v>
      </c>
      <c r="C87" s="30" t="s">
        <v>50</v>
      </c>
      <c r="D87" s="34">
        <f>'2019-3 СВОД'!D904</f>
        <v>260.62</v>
      </c>
      <c r="E87" s="34">
        <f>'2019-3 СВОД'!E904</f>
        <v>447.6</v>
      </c>
      <c r="F87" s="34">
        <f>'2019-3 СВОД'!F904</f>
        <v>483.40000000000003</v>
      </c>
      <c r="G87" s="34">
        <f>'2019-3 СВОД'!G904</f>
        <v>33.1</v>
      </c>
      <c r="H87" s="405"/>
      <c r="I87" s="406"/>
    </row>
    <row r="88" spans="1:9" ht="12.75" customHeight="1" hidden="1">
      <c r="A88" s="6"/>
      <c r="B88" s="29">
        <v>2260</v>
      </c>
      <c r="C88" s="30" t="s">
        <v>51</v>
      </c>
      <c r="D88" s="34">
        <f>'2019-3 СВОД'!D905</f>
        <v>0</v>
      </c>
      <c r="E88" s="34">
        <f>'2019-3 СВОД'!E905</f>
        <v>0</v>
      </c>
      <c r="F88" s="34">
        <f>'2019-3 СВОД'!F905</f>
        <v>0</v>
      </c>
      <c r="G88" s="34">
        <f>'2019-3 СВОД'!G905</f>
        <v>0</v>
      </c>
      <c r="H88" s="405"/>
      <c r="I88" s="406"/>
    </row>
    <row r="89" spans="1:9" ht="12.75" customHeight="1" hidden="1">
      <c r="A89" s="6"/>
      <c r="B89" s="27">
        <v>2270</v>
      </c>
      <c r="C89" s="28" t="s">
        <v>52</v>
      </c>
      <c r="D89" s="33">
        <f>D90+D91+D92+D93+D94+D95</f>
        <v>0</v>
      </c>
      <c r="E89" s="33">
        <f>E90+E91+E92+E93+E94+E95</f>
        <v>0</v>
      </c>
      <c r="F89" s="33">
        <f>F90+F91+F92+F93+F94+F95</f>
        <v>0</v>
      </c>
      <c r="G89" s="33">
        <f>G90+G91+G92+G93+G94+G95</f>
        <v>0</v>
      </c>
      <c r="H89" s="405"/>
      <c r="I89" s="406"/>
    </row>
    <row r="90" spans="1:9" ht="12.75" customHeight="1" hidden="1">
      <c r="A90" s="6"/>
      <c r="B90" s="29">
        <v>2271</v>
      </c>
      <c r="C90" s="30" t="s">
        <v>53</v>
      </c>
      <c r="D90" s="34">
        <f>'2019-3 СВОД'!D907</f>
        <v>0</v>
      </c>
      <c r="E90" s="34">
        <f>'2019-3 СВОД'!E907</f>
        <v>0</v>
      </c>
      <c r="F90" s="34">
        <f>'2019-3 СВОД'!F907</f>
        <v>0</v>
      </c>
      <c r="G90" s="34">
        <f>'2019-3 СВОД'!G907</f>
        <v>0</v>
      </c>
      <c r="H90" s="405"/>
      <c r="I90" s="406"/>
    </row>
    <row r="91" spans="1:9" ht="12.75" customHeight="1" hidden="1">
      <c r="A91" s="6"/>
      <c r="B91" s="29">
        <v>2272</v>
      </c>
      <c r="C91" s="30" t="s">
        <v>54</v>
      </c>
      <c r="D91" s="34">
        <f>'2019-3 СВОД'!D908</f>
        <v>0</v>
      </c>
      <c r="E91" s="34">
        <f>'2019-3 СВОД'!E908</f>
        <v>0</v>
      </c>
      <c r="F91" s="34">
        <f>'2019-3 СВОД'!F908</f>
        <v>0</v>
      </c>
      <c r="G91" s="34">
        <f>'2019-3 СВОД'!G908</f>
        <v>0</v>
      </c>
      <c r="H91" s="405"/>
      <c r="I91" s="406"/>
    </row>
    <row r="92" spans="1:9" ht="12.75" customHeight="1" hidden="1">
      <c r="A92" s="6"/>
      <c r="B92" s="29">
        <v>2273</v>
      </c>
      <c r="C92" s="30" t="s">
        <v>55</v>
      </c>
      <c r="D92" s="34">
        <f>'2019-3 СВОД'!D909</f>
        <v>0</v>
      </c>
      <c r="E92" s="34">
        <f>'2019-3 СВОД'!E909</f>
        <v>0</v>
      </c>
      <c r="F92" s="34">
        <f>'2019-3 СВОД'!F909</f>
        <v>0</v>
      </c>
      <c r="G92" s="34">
        <f>'2019-3 СВОД'!G909</f>
        <v>0</v>
      </c>
      <c r="H92" s="405"/>
      <c r="I92" s="406"/>
    </row>
    <row r="93" spans="1:9" ht="12.75" customHeight="1" hidden="1">
      <c r="A93" s="6"/>
      <c r="B93" s="29">
        <v>2274</v>
      </c>
      <c r="C93" s="30" t="s">
        <v>56</v>
      </c>
      <c r="D93" s="34">
        <f>'2019-3 СВОД'!D910</f>
        <v>0</v>
      </c>
      <c r="E93" s="34">
        <f>'2019-3 СВОД'!E910</f>
        <v>0</v>
      </c>
      <c r="F93" s="34">
        <f>'2019-3 СВОД'!F910</f>
        <v>0</v>
      </c>
      <c r="G93" s="34">
        <f>'2019-3 СВОД'!G910</f>
        <v>0</v>
      </c>
      <c r="H93" s="405"/>
      <c r="I93" s="406"/>
    </row>
    <row r="94" spans="1:9" ht="12.75" customHeight="1" hidden="1">
      <c r="A94" s="6"/>
      <c r="B94" s="29">
        <v>2275</v>
      </c>
      <c r="C94" s="30" t="s">
        <v>57</v>
      </c>
      <c r="D94" s="34">
        <f>'2019-3 СВОД'!D911</f>
        <v>0</v>
      </c>
      <c r="E94" s="34">
        <f>'2019-3 СВОД'!E911</f>
        <v>0</v>
      </c>
      <c r="F94" s="34">
        <f>'2019-3 СВОД'!F911</f>
        <v>0</v>
      </c>
      <c r="G94" s="34">
        <f>'2019-3 СВОД'!G911</f>
        <v>0</v>
      </c>
      <c r="H94" s="405"/>
      <c r="I94" s="406"/>
    </row>
    <row r="95" spans="1:9" ht="12.75" customHeight="1" hidden="1">
      <c r="A95" s="6"/>
      <c r="B95" s="31">
        <v>2276</v>
      </c>
      <c r="C95" s="32" t="s">
        <v>58</v>
      </c>
      <c r="D95" s="34">
        <f>'2019-3 СВОД'!D912</f>
        <v>0</v>
      </c>
      <c r="E95" s="34">
        <f>'2019-3 СВОД'!E912</f>
        <v>0</v>
      </c>
      <c r="F95" s="34">
        <f>'2019-3 СВОД'!F912</f>
        <v>0</v>
      </c>
      <c r="G95" s="34">
        <f>'2019-3 СВОД'!G912</f>
        <v>0</v>
      </c>
      <c r="H95" s="405"/>
      <c r="I95" s="406"/>
    </row>
    <row r="96" spans="1:9" ht="12.75" customHeight="1" hidden="1">
      <c r="A96" s="6"/>
      <c r="B96" s="27">
        <v>2280</v>
      </c>
      <c r="C96" s="28" t="s">
        <v>59</v>
      </c>
      <c r="D96" s="33">
        <f>D97+D98</f>
        <v>0</v>
      </c>
      <c r="E96" s="33">
        <f>E97+E98</f>
        <v>0</v>
      </c>
      <c r="F96" s="33">
        <f>F97+F98</f>
        <v>0</v>
      </c>
      <c r="G96" s="33">
        <f>G97+G98</f>
        <v>0</v>
      </c>
      <c r="H96" s="405"/>
      <c r="I96" s="406"/>
    </row>
    <row r="97" spans="1:9" ht="12.75" customHeight="1" hidden="1">
      <c r="A97" s="6"/>
      <c r="B97" s="29">
        <v>2281</v>
      </c>
      <c r="C97" s="30" t="s">
        <v>60</v>
      </c>
      <c r="D97" s="34">
        <f>'2019-3 СВОД'!D914</f>
        <v>0</v>
      </c>
      <c r="E97" s="34">
        <f>'2019-3 СВОД'!E914</f>
        <v>0</v>
      </c>
      <c r="F97" s="34">
        <f>'2019-3 СВОД'!F914</f>
        <v>0</v>
      </c>
      <c r="G97" s="34">
        <f>'2019-3 СВОД'!G914</f>
        <v>0</v>
      </c>
      <c r="H97" s="405"/>
      <c r="I97" s="406"/>
    </row>
    <row r="98" spans="1:9" ht="12.75" customHeight="1" hidden="1">
      <c r="A98" s="6"/>
      <c r="B98" s="29">
        <v>2282</v>
      </c>
      <c r="C98" s="30" t="s">
        <v>61</v>
      </c>
      <c r="D98" s="34">
        <f>'2019-3 СВОД'!D915</f>
        <v>0</v>
      </c>
      <c r="E98" s="34">
        <f>'2019-3 СВОД'!E915</f>
        <v>0</v>
      </c>
      <c r="F98" s="34">
        <f>'2019-3 СВОД'!F915</f>
        <v>0</v>
      </c>
      <c r="G98" s="34">
        <f>'2019-3 СВОД'!G915</f>
        <v>0</v>
      </c>
      <c r="H98" s="405"/>
      <c r="I98" s="406"/>
    </row>
    <row r="99" spans="1:9" ht="12.75" customHeight="1" hidden="1">
      <c r="A99" s="6"/>
      <c r="B99" s="27">
        <v>2400</v>
      </c>
      <c r="C99" s="28" t="s">
        <v>62</v>
      </c>
      <c r="D99" s="34">
        <f>D100+D101</f>
        <v>0</v>
      </c>
      <c r="E99" s="34">
        <f>E100+E101</f>
        <v>0</v>
      </c>
      <c r="F99" s="34">
        <f>F100+F101</f>
        <v>0</v>
      </c>
      <c r="G99" s="34">
        <f>G100+G101</f>
        <v>0</v>
      </c>
      <c r="H99" s="405"/>
      <c r="I99" s="406"/>
    </row>
    <row r="100" spans="1:9" ht="12.75" customHeight="1" hidden="1">
      <c r="A100" s="6"/>
      <c r="B100" s="29">
        <v>2410</v>
      </c>
      <c r="C100" s="30" t="s">
        <v>63</v>
      </c>
      <c r="D100" s="34">
        <f>'2019-3 СВОД'!D917</f>
        <v>0</v>
      </c>
      <c r="E100" s="34">
        <f>'2019-3 СВОД'!E917</f>
        <v>0</v>
      </c>
      <c r="F100" s="34">
        <f>'2019-3 СВОД'!F917</f>
        <v>0</v>
      </c>
      <c r="G100" s="34">
        <f>'2019-3 СВОД'!G917</f>
        <v>0</v>
      </c>
      <c r="H100" s="405"/>
      <c r="I100" s="406"/>
    </row>
    <row r="101" spans="1:9" ht="12.75" customHeight="1" hidden="1">
      <c r="A101" s="6"/>
      <c r="B101" s="29">
        <v>2420</v>
      </c>
      <c r="C101" s="30" t="s">
        <v>64</v>
      </c>
      <c r="D101" s="34">
        <f>'2019-3 СВОД'!D918</f>
        <v>0</v>
      </c>
      <c r="E101" s="34">
        <f>'2019-3 СВОД'!E918</f>
        <v>0</v>
      </c>
      <c r="F101" s="34">
        <f>'2019-3 СВОД'!F918</f>
        <v>0</v>
      </c>
      <c r="G101" s="34">
        <f>'2019-3 СВОД'!G918</f>
        <v>0</v>
      </c>
      <c r="H101" s="405"/>
      <c r="I101" s="406"/>
    </row>
    <row r="102" spans="1:9" ht="12.75" customHeight="1" hidden="1">
      <c r="A102" s="6"/>
      <c r="B102" s="27">
        <v>2600</v>
      </c>
      <c r="C102" s="28" t="s">
        <v>65</v>
      </c>
      <c r="D102" s="33">
        <f>D103+D104+D105</f>
        <v>0</v>
      </c>
      <c r="E102" s="33">
        <f>E103+E104+E105</f>
        <v>0</v>
      </c>
      <c r="F102" s="33">
        <f>F103+F104+F105</f>
        <v>0</v>
      </c>
      <c r="G102" s="33">
        <f>G103+G104+G105</f>
        <v>0</v>
      </c>
      <c r="H102" s="405"/>
      <c r="I102" s="406"/>
    </row>
    <row r="103" spans="1:9" ht="12.75" customHeight="1" hidden="1">
      <c r="A103" s="6"/>
      <c r="B103" s="29">
        <v>2610</v>
      </c>
      <c r="C103" s="30" t="s">
        <v>66</v>
      </c>
      <c r="D103" s="34">
        <f>'2019-3 СВОД'!D920</f>
        <v>0</v>
      </c>
      <c r="E103" s="34">
        <f>'2019-3 СВОД'!E920</f>
        <v>0</v>
      </c>
      <c r="F103" s="34">
        <f>'2019-3 СВОД'!F920</f>
        <v>0</v>
      </c>
      <c r="G103" s="34">
        <f>'2019-3 СВОД'!G920</f>
        <v>0</v>
      </c>
      <c r="H103" s="405"/>
      <c r="I103" s="406"/>
    </row>
    <row r="104" spans="1:9" ht="12.75" customHeight="1" hidden="1">
      <c r="A104" s="6"/>
      <c r="B104" s="29">
        <v>2620</v>
      </c>
      <c r="C104" s="30" t="s">
        <v>67</v>
      </c>
      <c r="D104" s="34">
        <f>'2019-3 СВОД'!D921</f>
        <v>0</v>
      </c>
      <c r="E104" s="34">
        <f>'2019-3 СВОД'!E921</f>
        <v>0</v>
      </c>
      <c r="F104" s="34">
        <f>'2019-3 СВОД'!F921</f>
        <v>0</v>
      </c>
      <c r="G104" s="34">
        <f>'2019-3 СВОД'!G921</f>
        <v>0</v>
      </c>
      <c r="H104" s="405"/>
      <c r="I104" s="406"/>
    </row>
    <row r="105" spans="1:9" ht="12.75" customHeight="1" hidden="1">
      <c r="A105" s="6"/>
      <c r="B105" s="29">
        <v>2630</v>
      </c>
      <c r="C105" s="30" t="s">
        <v>68</v>
      </c>
      <c r="D105" s="34">
        <f>'2019-3 СВОД'!D922</f>
        <v>0</v>
      </c>
      <c r="E105" s="34">
        <f>'2019-3 СВОД'!E922</f>
        <v>0</v>
      </c>
      <c r="F105" s="34">
        <f>'2019-3 СВОД'!F922</f>
        <v>0</v>
      </c>
      <c r="G105" s="34">
        <f>'2019-3 СВОД'!G922</f>
        <v>0</v>
      </c>
      <c r="H105" s="405"/>
      <c r="I105" s="406"/>
    </row>
    <row r="106" spans="1:9" ht="12.75" customHeight="1" hidden="1">
      <c r="A106" s="6"/>
      <c r="B106" s="27">
        <v>2700</v>
      </c>
      <c r="C106" s="28" t="s">
        <v>69</v>
      </c>
      <c r="D106" s="33">
        <f>D107+D108+D109</f>
        <v>0</v>
      </c>
      <c r="E106" s="33">
        <f>E107+E108+E109</f>
        <v>0</v>
      </c>
      <c r="F106" s="33">
        <f>F107+F108+F109</f>
        <v>0</v>
      </c>
      <c r="G106" s="33">
        <f>G107+G108+G109</f>
        <v>0</v>
      </c>
      <c r="H106" s="405"/>
      <c r="I106" s="406"/>
    </row>
    <row r="107" spans="1:9" ht="12.75" customHeight="1" hidden="1">
      <c r="A107" s="6"/>
      <c r="B107" s="29">
        <v>2710</v>
      </c>
      <c r="C107" s="30" t="s">
        <v>70</v>
      </c>
      <c r="D107" s="34">
        <f>'2019-3 СВОД'!D924</f>
        <v>0</v>
      </c>
      <c r="E107" s="34">
        <f>'2019-3 СВОД'!E924</f>
        <v>0</v>
      </c>
      <c r="F107" s="34">
        <f>'2019-3 СВОД'!F924</f>
        <v>0</v>
      </c>
      <c r="G107" s="34">
        <f>'2019-3 СВОД'!G924</f>
        <v>0</v>
      </c>
      <c r="H107" s="405"/>
      <c r="I107" s="406"/>
    </row>
    <row r="108" spans="1:9" ht="12.75" customHeight="1" hidden="1">
      <c r="A108" s="6"/>
      <c r="B108" s="29">
        <v>2720</v>
      </c>
      <c r="C108" s="30" t="s">
        <v>71</v>
      </c>
      <c r="D108" s="34">
        <f>'2019-3 СВОД'!D925</f>
        <v>0</v>
      </c>
      <c r="E108" s="34">
        <f>'2019-3 СВОД'!E925</f>
        <v>0</v>
      </c>
      <c r="F108" s="34">
        <f>'2019-3 СВОД'!F925</f>
        <v>0</v>
      </c>
      <c r="G108" s="34">
        <f>'2019-3 СВОД'!G925</f>
        <v>0</v>
      </c>
      <c r="H108" s="405"/>
      <c r="I108" s="406"/>
    </row>
    <row r="109" spans="1:9" ht="12.75" customHeight="1" hidden="1">
      <c r="A109" s="6"/>
      <c r="B109" s="29">
        <v>2730</v>
      </c>
      <c r="C109" s="30" t="s">
        <v>72</v>
      </c>
      <c r="D109" s="34">
        <f>'2019-3 СВОД'!D926</f>
        <v>0</v>
      </c>
      <c r="E109" s="34">
        <f>'2019-3 СВОД'!E926</f>
        <v>0</v>
      </c>
      <c r="F109" s="34">
        <f>'2019-3 СВОД'!F926</f>
        <v>0</v>
      </c>
      <c r="G109" s="34">
        <f>'2019-3 СВОД'!G926</f>
        <v>0</v>
      </c>
      <c r="H109" s="405"/>
      <c r="I109" s="406"/>
    </row>
    <row r="110" spans="1:9" ht="12.75" customHeight="1" hidden="1">
      <c r="A110" s="6"/>
      <c r="B110" s="27">
        <v>2800</v>
      </c>
      <c r="C110" s="28" t="s">
        <v>73</v>
      </c>
      <c r="D110" s="34">
        <f>'2019-3 СВОД'!D927</f>
        <v>0</v>
      </c>
      <c r="E110" s="34">
        <f>'2019-3 СВОД'!E927</f>
        <v>0</v>
      </c>
      <c r="F110" s="34">
        <f>'2019-3 СВОД'!F927</f>
        <v>0</v>
      </c>
      <c r="G110" s="34">
        <f>'2019-3 СВОД'!G927</f>
        <v>0</v>
      </c>
      <c r="H110" s="405"/>
      <c r="I110" s="406"/>
    </row>
    <row r="111" spans="1:9" ht="12.75" customHeight="1" hidden="1">
      <c r="A111" s="21"/>
      <c r="B111" s="27">
        <v>3000</v>
      </c>
      <c r="C111" s="28" t="s">
        <v>40</v>
      </c>
      <c r="D111" s="40">
        <f>D112+D126</f>
        <v>0</v>
      </c>
      <c r="E111" s="40">
        <f>E112+E126</f>
        <v>0</v>
      </c>
      <c r="F111" s="40">
        <f>F112+F126</f>
        <v>0</v>
      </c>
      <c r="G111" s="40">
        <f>G112+G126</f>
        <v>0</v>
      </c>
      <c r="H111" s="405"/>
      <c r="I111" s="406"/>
    </row>
    <row r="112" spans="1:9" ht="12.75" customHeight="1" hidden="1">
      <c r="A112" s="21"/>
      <c r="B112" s="27">
        <v>3100</v>
      </c>
      <c r="C112" s="28" t="s">
        <v>41</v>
      </c>
      <c r="D112" s="40">
        <f>D113+D114+D117+D120+D124+D125+D126</f>
        <v>0</v>
      </c>
      <c r="E112" s="40">
        <f>E113+E114+E117+E120+E124+E125+E126</f>
        <v>0</v>
      </c>
      <c r="F112" s="40">
        <f>F113+F114+F117+F120+F124+F125+F126</f>
        <v>0</v>
      </c>
      <c r="G112" s="40">
        <f>G113+G114+G117+G120+G124+G125+G126</f>
        <v>0</v>
      </c>
      <c r="H112" s="405"/>
      <c r="I112" s="406"/>
    </row>
    <row r="113" spans="1:9" ht="12.75" customHeight="1" hidden="1">
      <c r="A113" s="21"/>
      <c r="B113" s="29">
        <v>3110</v>
      </c>
      <c r="C113" s="30" t="s">
        <v>74</v>
      </c>
      <c r="D113" s="34"/>
      <c r="E113" s="34"/>
      <c r="F113" s="34"/>
      <c r="G113" s="34"/>
      <c r="H113" s="405"/>
      <c r="I113" s="406"/>
    </row>
    <row r="114" spans="1:9" ht="12.75" customHeight="1" hidden="1">
      <c r="A114" s="21"/>
      <c r="B114" s="29">
        <v>3120</v>
      </c>
      <c r="C114" s="30" t="s">
        <v>75</v>
      </c>
      <c r="D114" s="40">
        <f>D115+D116</f>
        <v>0</v>
      </c>
      <c r="E114" s="40">
        <f>E115+E116</f>
        <v>0</v>
      </c>
      <c r="F114" s="40">
        <f>F115+F116</f>
        <v>0</v>
      </c>
      <c r="G114" s="40">
        <f>G115+G116</f>
        <v>0</v>
      </c>
      <c r="H114" s="405"/>
      <c r="I114" s="406"/>
    </row>
    <row r="115" spans="1:9" ht="12.75" customHeight="1" hidden="1">
      <c r="A115" s="21"/>
      <c r="B115" s="29">
        <v>3121</v>
      </c>
      <c r="C115" s="30" t="s">
        <v>76</v>
      </c>
      <c r="D115" s="34"/>
      <c r="E115" s="34"/>
      <c r="F115" s="34"/>
      <c r="G115" s="34"/>
      <c r="H115" s="405"/>
      <c r="I115" s="406"/>
    </row>
    <row r="116" spans="1:9" ht="12.75" customHeight="1" hidden="1">
      <c r="A116" s="21"/>
      <c r="B116" s="29">
        <v>3122</v>
      </c>
      <c r="C116" s="30" t="s">
        <v>77</v>
      </c>
      <c r="D116" s="34"/>
      <c r="E116" s="34"/>
      <c r="F116" s="34"/>
      <c r="G116" s="34"/>
      <c r="H116" s="405"/>
      <c r="I116" s="406"/>
    </row>
    <row r="117" spans="1:9" ht="12.75" customHeight="1" hidden="1">
      <c r="A117" s="21"/>
      <c r="B117" s="29">
        <v>3130</v>
      </c>
      <c r="C117" s="30" t="s">
        <v>78</v>
      </c>
      <c r="D117" s="40">
        <f>D118+D119</f>
        <v>0</v>
      </c>
      <c r="E117" s="40">
        <f>E118+E119</f>
        <v>0</v>
      </c>
      <c r="F117" s="40">
        <f>F118+F119</f>
        <v>0</v>
      </c>
      <c r="G117" s="40">
        <f>G118+G119</f>
        <v>0</v>
      </c>
      <c r="H117" s="405"/>
      <c r="I117" s="406"/>
    </row>
    <row r="118" spans="1:9" ht="12.75" customHeight="1" hidden="1">
      <c r="A118" s="21"/>
      <c r="B118" s="29">
        <v>3131</v>
      </c>
      <c r="C118" s="30" t="s">
        <v>79</v>
      </c>
      <c r="D118" s="34"/>
      <c r="E118" s="34"/>
      <c r="F118" s="34"/>
      <c r="G118" s="34"/>
      <c r="H118" s="405"/>
      <c r="I118" s="406"/>
    </row>
    <row r="119" spans="1:9" ht="12.75" customHeight="1" hidden="1">
      <c r="A119" s="21"/>
      <c r="B119" s="29">
        <v>3132</v>
      </c>
      <c r="C119" s="30" t="s">
        <v>80</v>
      </c>
      <c r="D119" s="34"/>
      <c r="E119" s="34"/>
      <c r="F119" s="34"/>
      <c r="G119" s="34"/>
      <c r="H119" s="405"/>
      <c r="I119" s="406"/>
    </row>
    <row r="120" spans="1:9" ht="12.75" customHeight="1" hidden="1">
      <c r="A120" s="21"/>
      <c r="B120" s="29">
        <v>3140</v>
      </c>
      <c r="C120" s="30" t="s">
        <v>81</v>
      </c>
      <c r="D120" s="40">
        <f>D121+D122+D123</f>
        <v>0</v>
      </c>
      <c r="E120" s="40">
        <f>E121+E122+E123</f>
        <v>0</v>
      </c>
      <c r="F120" s="40">
        <f>F121+F122+F123</f>
        <v>0</v>
      </c>
      <c r="G120" s="40">
        <f>G121+G122+G123</f>
        <v>0</v>
      </c>
      <c r="H120" s="405"/>
      <c r="I120" s="406"/>
    </row>
    <row r="121" spans="1:9" ht="12.75" customHeight="1" hidden="1">
      <c r="A121" s="21"/>
      <c r="B121" s="29">
        <v>3141</v>
      </c>
      <c r="C121" s="30" t="s">
        <v>82</v>
      </c>
      <c r="D121" s="34"/>
      <c r="E121" s="34"/>
      <c r="F121" s="34"/>
      <c r="G121" s="34"/>
      <c r="H121" s="405"/>
      <c r="I121" s="406"/>
    </row>
    <row r="122" spans="1:9" ht="12.75" customHeight="1" hidden="1">
      <c r="A122" s="21"/>
      <c r="B122" s="29">
        <v>3142</v>
      </c>
      <c r="C122" s="30" t="s">
        <v>83</v>
      </c>
      <c r="D122" s="34"/>
      <c r="E122" s="34"/>
      <c r="F122" s="34"/>
      <c r="G122" s="34"/>
      <c r="H122" s="405"/>
      <c r="I122" s="406"/>
    </row>
    <row r="123" spans="1:9" ht="12.75" customHeight="1" hidden="1">
      <c r="A123" s="21"/>
      <c r="B123" s="29">
        <v>3143</v>
      </c>
      <c r="C123" s="30" t="s">
        <v>84</v>
      </c>
      <c r="D123" s="34"/>
      <c r="E123" s="34"/>
      <c r="F123" s="34"/>
      <c r="G123" s="34"/>
      <c r="H123" s="405"/>
      <c r="I123" s="406"/>
    </row>
    <row r="124" spans="1:9" ht="12.75" customHeight="1" hidden="1">
      <c r="A124" s="21"/>
      <c r="B124" s="29">
        <v>3150</v>
      </c>
      <c r="C124" s="30" t="s">
        <v>85</v>
      </c>
      <c r="D124" s="34"/>
      <c r="E124" s="34"/>
      <c r="F124" s="34"/>
      <c r="G124" s="34"/>
      <c r="H124" s="405"/>
      <c r="I124" s="406"/>
    </row>
    <row r="125" spans="1:9" ht="12.75" customHeight="1" hidden="1">
      <c r="A125" s="21"/>
      <c r="B125" s="29">
        <v>3160</v>
      </c>
      <c r="C125" s="30" t="s">
        <v>86</v>
      </c>
      <c r="D125" s="34"/>
      <c r="E125" s="34"/>
      <c r="F125" s="34"/>
      <c r="G125" s="34"/>
      <c r="H125" s="405"/>
      <c r="I125" s="406"/>
    </row>
    <row r="126" spans="1:9" ht="12.75" customHeight="1" hidden="1">
      <c r="A126" s="21"/>
      <c r="B126" s="27">
        <v>3200</v>
      </c>
      <c r="C126" s="28" t="s">
        <v>87</v>
      </c>
      <c r="D126" s="40">
        <f>D127+D128+D129+D130</f>
        <v>0</v>
      </c>
      <c r="E126" s="40">
        <f>E127+E128+E129+E130</f>
        <v>0</v>
      </c>
      <c r="F126" s="40">
        <f>F127+F128+F129+F130</f>
        <v>0</v>
      </c>
      <c r="G126" s="40">
        <f>G127+G128+G129+G130</f>
        <v>0</v>
      </c>
      <c r="H126" s="405"/>
      <c r="I126" s="406"/>
    </row>
    <row r="127" spans="1:9" ht="12.75" customHeight="1" hidden="1">
      <c r="A127" s="21"/>
      <c r="B127" s="29">
        <v>3210</v>
      </c>
      <c r="C127" s="30" t="s">
        <v>88</v>
      </c>
      <c r="D127" s="34"/>
      <c r="E127" s="34"/>
      <c r="F127" s="34"/>
      <c r="G127" s="34"/>
      <c r="H127" s="405"/>
      <c r="I127" s="406"/>
    </row>
    <row r="128" spans="1:9" ht="12.75" customHeight="1" hidden="1">
      <c r="A128" s="21"/>
      <c r="B128" s="29">
        <v>3220</v>
      </c>
      <c r="C128" s="30" t="s">
        <v>89</v>
      </c>
      <c r="D128" s="34"/>
      <c r="E128" s="34"/>
      <c r="F128" s="34"/>
      <c r="G128" s="34"/>
      <c r="H128" s="405"/>
      <c r="I128" s="406"/>
    </row>
    <row r="129" spans="1:9" ht="12.75" customHeight="1" hidden="1">
      <c r="A129" s="21"/>
      <c r="B129" s="29">
        <v>3230</v>
      </c>
      <c r="C129" s="30" t="s">
        <v>90</v>
      </c>
      <c r="D129" s="34"/>
      <c r="E129" s="34"/>
      <c r="F129" s="34"/>
      <c r="G129" s="34"/>
      <c r="H129" s="405"/>
      <c r="I129" s="406"/>
    </row>
    <row r="130" spans="1:9" ht="13.5" customHeight="1" hidden="1">
      <c r="A130" s="21"/>
      <c r="B130" s="29">
        <v>3240</v>
      </c>
      <c r="C130" s="30" t="s">
        <v>91</v>
      </c>
      <c r="D130" s="34"/>
      <c r="E130" s="34"/>
      <c r="F130" s="34"/>
      <c r="G130" s="34"/>
      <c r="H130" s="405"/>
      <c r="I130" s="406"/>
    </row>
    <row r="131" spans="1:9" s="19" customFormat="1" ht="13.5" customHeight="1">
      <c r="A131" s="7"/>
      <c r="B131" s="7"/>
      <c r="C131" s="20" t="s">
        <v>3</v>
      </c>
      <c r="D131" s="34">
        <f>D76+D111</f>
        <v>618.37</v>
      </c>
      <c r="E131" s="34">
        <f>E76+E111</f>
        <v>932.5</v>
      </c>
      <c r="F131" s="34">
        <f>F76+F111</f>
        <v>1080.7</v>
      </c>
      <c r="G131" s="34">
        <f>G76+G111</f>
        <v>100</v>
      </c>
      <c r="H131" s="407"/>
      <c r="I131" s="408"/>
    </row>
    <row r="132" spans="1:8" ht="15.75">
      <c r="A132" s="115" t="s">
        <v>209</v>
      </c>
      <c r="B132" s="115" t="s">
        <v>209</v>
      </c>
      <c r="C132" s="115"/>
      <c r="D132" s="115"/>
      <c r="E132" s="115"/>
      <c r="F132" s="115"/>
      <c r="G132" s="115"/>
      <c r="H132" s="207"/>
    </row>
    <row r="133" spans="1:9" ht="15" customHeight="1">
      <c r="A133" s="444" t="s">
        <v>25</v>
      </c>
      <c r="B133" s="444"/>
      <c r="C133" s="444"/>
      <c r="D133" s="444"/>
      <c r="E133" s="444"/>
      <c r="F133" s="444"/>
      <c r="G133" s="444"/>
      <c r="H133" s="444"/>
      <c r="I133" s="444"/>
    </row>
    <row r="134" spans="1:9" ht="30" customHeight="1">
      <c r="A134" s="14" t="s">
        <v>20</v>
      </c>
      <c r="B134" s="8" t="s">
        <v>0</v>
      </c>
      <c r="C134" s="14" t="s">
        <v>1</v>
      </c>
      <c r="D134" s="14" t="s">
        <v>14</v>
      </c>
      <c r="E134" s="441" t="s">
        <v>15</v>
      </c>
      <c r="F134" s="441"/>
      <c r="G134" s="441"/>
      <c r="H134" s="14" t="s">
        <v>214</v>
      </c>
      <c r="I134" s="14" t="s">
        <v>215</v>
      </c>
    </row>
    <row r="135" spans="1:9" ht="15" customHeight="1" thickBot="1">
      <c r="A135" s="17">
        <v>1</v>
      </c>
      <c r="B135" s="17">
        <v>1</v>
      </c>
      <c r="C135" s="38">
        <v>2</v>
      </c>
      <c r="D135" s="178">
        <v>3</v>
      </c>
      <c r="E135" s="427">
        <v>4</v>
      </c>
      <c r="F135" s="427"/>
      <c r="G135" s="427"/>
      <c r="H135" s="38">
        <v>5</v>
      </c>
      <c r="I135" s="38">
        <v>6</v>
      </c>
    </row>
    <row r="136" spans="2:9" s="165" customFormat="1" ht="13.5" thickTop="1">
      <c r="B136" s="169">
        <f>B17</f>
        <v>1115020</v>
      </c>
      <c r="C136" s="477" t="str">
        <f>C17</f>
        <v>Програма Здійснення фізкультурно-спортивної та реабілітаційної роботи серед осіб з інвалідністю </v>
      </c>
      <c r="D136" s="478"/>
      <c r="E136" s="478"/>
      <c r="F136" s="478"/>
      <c r="G136" s="478"/>
      <c r="H136" s="478"/>
      <c r="I136" s="479"/>
    </row>
    <row r="137" spans="2:9" s="156" customFormat="1" ht="12.75">
      <c r="B137" s="154">
        <f>B18</f>
        <v>1115021</v>
      </c>
      <c r="C137" s="504" t="str">
        <f>C18</f>
        <v>Підпрограма Утримання центрів з фізичної культури і спорту осіб з інвалідністю та реабілітаційних шкіл</v>
      </c>
      <c r="D137" s="505"/>
      <c r="E137" s="505"/>
      <c r="F137" s="505"/>
      <c r="G137" s="505"/>
      <c r="H137" s="505"/>
      <c r="I137" s="506"/>
    </row>
    <row r="138" spans="1:9" s="153" customFormat="1" ht="12.75">
      <c r="A138" s="68"/>
      <c r="B138" s="69"/>
      <c r="C138" s="455" t="s">
        <v>298</v>
      </c>
      <c r="D138" s="456"/>
      <c r="E138" s="456"/>
      <c r="F138" s="456"/>
      <c r="G138" s="456"/>
      <c r="H138" s="456"/>
      <c r="I138" s="457"/>
    </row>
    <row r="139" spans="1:9" s="78" customFormat="1" ht="12.75">
      <c r="A139" s="188"/>
      <c r="B139" s="189"/>
      <c r="C139" s="61" t="s">
        <v>126</v>
      </c>
      <c r="D139" s="62" t="s">
        <v>125</v>
      </c>
      <c r="E139" s="486" t="s">
        <v>125</v>
      </c>
      <c r="F139" s="487"/>
      <c r="G139" s="488"/>
      <c r="H139" s="195"/>
      <c r="I139" s="190"/>
    </row>
    <row r="140" spans="1:9" s="78" customFormat="1" ht="12.75">
      <c r="A140" s="188"/>
      <c r="B140" s="189"/>
      <c r="C140" s="191" t="s">
        <v>299</v>
      </c>
      <c r="D140" s="192" t="s">
        <v>124</v>
      </c>
      <c r="E140" s="507" t="s">
        <v>128</v>
      </c>
      <c r="F140" s="508"/>
      <c r="G140" s="509"/>
      <c r="H140" s="195">
        <v>1</v>
      </c>
      <c r="I140" s="204">
        <f>H140</f>
        <v>1</v>
      </c>
    </row>
    <row r="141" spans="1:9" s="78" customFormat="1" ht="12.75">
      <c r="A141" s="188"/>
      <c r="B141" s="189"/>
      <c r="C141" s="191" t="s">
        <v>300</v>
      </c>
      <c r="D141" s="192" t="s">
        <v>260</v>
      </c>
      <c r="E141" s="510" t="s">
        <v>130</v>
      </c>
      <c r="F141" s="511"/>
      <c r="G141" s="512"/>
      <c r="H141" s="195">
        <v>24</v>
      </c>
      <c r="I141" s="204">
        <f>H141</f>
        <v>24</v>
      </c>
    </row>
    <row r="142" spans="1:9" s="78" customFormat="1" ht="12.75">
      <c r="A142" s="188"/>
      <c r="B142" s="189"/>
      <c r="C142" s="61" t="s">
        <v>136</v>
      </c>
      <c r="D142" s="62" t="s">
        <v>125</v>
      </c>
      <c r="E142" s="486" t="s">
        <v>125</v>
      </c>
      <c r="F142" s="487"/>
      <c r="G142" s="488"/>
      <c r="H142" s="195"/>
      <c r="I142" s="190"/>
    </row>
    <row r="143" spans="1:10" s="78" customFormat="1" ht="26.25">
      <c r="A143" s="188"/>
      <c r="B143" s="189"/>
      <c r="C143" s="193" t="s">
        <v>301</v>
      </c>
      <c r="D143" s="194" t="s">
        <v>260</v>
      </c>
      <c r="E143" s="507" t="s">
        <v>270</v>
      </c>
      <c r="F143" s="508"/>
      <c r="G143" s="509"/>
      <c r="H143" s="195">
        <v>1600</v>
      </c>
      <c r="I143" s="204">
        <v>1800</v>
      </c>
      <c r="J143" s="78">
        <f>H143*1.07</f>
        <v>1712</v>
      </c>
    </row>
    <row r="144" spans="1:9" s="78" customFormat="1" ht="12.75">
      <c r="A144" s="188"/>
      <c r="B144" s="189"/>
      <c r="C144" s="61" t="s">
        <v>143</v>
      </c>
      <c r="D144" s="196" t="s">
        <v>125</v>
      </c>
      <c r="E144" s="513" t="s">
        <v>125</v>
      </c>
      <c r="F144" s="514"/>
      <c r="G144" s="515"/>
      <c r="H144" s="195"/>
      <c r="I144" s="190"/>
    </row>
    <row r="145" spans="1:9" s="78" customFormat="1" ht="26.25">
      <c r="A145" s="188"/>
      <c r="B145" s="189"/>
      <c r="C145" s="191" t="s">
        <v>302</v>
      </c>
      <c r="D145" s="192" t="s">
        <v>145</v>
      </c>
      <c r="E145" s="507" t="s">
        <v>146</v>
      </c>
      <c r="F145" s="508"/>
      <c r="G145" s="509"/>
      <c r="H145" s="204">
        <v>6045</v>
      </c>
      <c r="I145" s="204">
        <v>8381</v>
      </c>
    </row>
    <row r="146" spans="1:9" s="78" customFormat="1" ht="12.75">
      <c r="A146" s="188"/>
      <c r="B146" s="189"/>
      <c r="C146" s="61" t="s">
        <v>147</v>
      </c>
      <c r="D146" s="62" t="s">
        <v>125</v>
      </c>
      <c r="E146" s="486" t="s">
        <v>125</v>
      </c>
      <c r="F146" s="487"/>
      <c r="G146" s="488"/>
      <c r="H146" s="195"/>
      <c r="I146" s="190"/>
    </row>
    <row r="147" spans="1:9" s="78" customFormat="1" ht="26.25">
      <c r="A147" s="188"/>
      <c r="B147" s="189"/>
      <c r="C147" s="193" t="s">
        <v>303</v>
      </c>
      <c r="D147" s="194" t="s">
        <v>123</v>
      </c>
      <c r="E147" s="507" t="s">
        <v>270</v>
      </c>
      <c r="F147" s="508"/>
      <c r="G147" s="509"/>
      <c r="H147" s="212">
        <v>0.058</v>
      </c>
      <c r="I147" s="212">
        <v>0.19</v>
      </c>
    </row>
    <row r="148" spans="1:9" s="78" customFormat="1" ht="12.75">
      <c r="A148" s="188"/>
      <c r="B148" s="189"/>
      <c r="C148" s="455" t="s">
        <v>304</v>
      </c>
      <c r="D148" s="456"/>
      <c r="E148" s="456"/>
      <c r="F148" s="456"/>
      <c r="G148" s="456"/>
      <c r="H148" s="456"/>
      <c r="I148" s="457"/>
    </row>
    <row r="149" spans="1:9" s="78" customFormat="1" ht="12.75">
      <c r="A149" s="188"/>
      <c r="B149" s="189"/>
      <c r="C149" s="61" t="s">
        <v>126</v>
      </c>
      <c r="D149" s="62" t="s">
        <v>125</v>
      </c>
      <c r="E149" s="486" t="s">
        <v>125</v>
      </c>
      <c r="F149" s="487"/>
      <c r="G149" s="488"/>
      <c r="H149" s="195"/>
      <c r="I149" s="190"/>
    </row>
    <row r="150" spans="1:9" s="78" customFormat="1" ht="12.75">
      <c r="A150" s="188"/>
      <c r="B150" s="189"/>
      <c r="C150" s="191" t="s">
        <v>305</v>
      </c>
      <c r="D150" s="197" t="s">
        <v>124</v>
      </c>
      <c r="E150" s="489" t="s">
        <v>128</v>
      </c>
      <c r="F150" s="490"/>
      <c r="G150" s="491"/>
      <c r="H150" s="195">
        <v>1</v>
      </c>
      <c r="I150" s="204">
        <f>H150</f>
        <v>1</v>
      </c>
    </row>
    <row r="151" spans="1:9" s="78" customFormat="1" ht="12.75">
      <c r="A151" s="188"/>
      <c r="B151" s="189"/>
      <c r="C151" s="191" t="s">
        <v>306</v>
      </c>
      <c r="D151" s="197" t="s">
        <v>260</v>
      </c>
      <c r="E151" s="498" t="s">
        <v>130</v>
      </c>
      <c r="F151" s="499"/>
      <c r="G151" s="500"/>
      <c r="H151" s="195">
        <v>25</v>
      </c>
      <c r="I151" s="204">
        <f>H151</f>
        <v>25</v>
      </c>
    </row>
    <row r="152" spans="1:9" s="78" customFormat="1" ht="12.75">
      <c r="A152" s="188"/>
      <c r="B152" s="189"/>
      <c r="C152" s="198" t="s">
        <v>307</v>
      </c>
      <c r="D152" s="199" t="s">
        <v>260</v>
      </c>
      <c r="E152" s="501" t="s">
        <v>130</v>
      </c>
      <c r="F152" s="502"/>
      <c r="G152" s="503"/>
      <c r="H152" s="195">
        <v>18.5</v>
      </c>
      <c r="I152" s="204">
        <f>H152</f>
        <v>18.5</v>
      </c>
    </row>
    <row r="153" spans="1:9" s="78" customFormat="1" ht="12.75">
      <c r="A153" s="188"/>
      <c r="B153" s="189"/>
      <c r="C153" s="61" t="s">
        <v>136</v>
      </c>
      <c r="D153" s="62" t="s">
        <v>125</v>
      </c>
      <c r="E153" s="486" t="s">
        <v>125</v>
      </c>
      <c r="F153" s="487"/>
      <c r="G153" s="488"/>
      <c r="H153" s="195"/>
      <c r="I153" s="190"/>
    </row>
    <row r="154" spans="1:9" s="78" customFormat="1" ht="12.75">
      <c r="A154" s="188"/>
      <c r="B154" s="189"/>
      <c r="C154" s="191" t="s">
        <v>308</v>
      </c>
      <c r="D154" s="197" t="s">
        <v>260</v>
      </c>
      <c r="E154" s="489" t="s">
        <v>128</v>
      </c>
      <c r="F154" s="490"/>
      <c r="G154" s="491"/>
      <c r="H154" s="195">
        <v>160</v>
      </c>
      <c r="I154" s="204">
        <v>184</v>
      </c>
    </row>
    <row r="155" spans="1:9" s="78" customFormat="1" ht="12.75">
      <c r="A155" s="188"/>
      <c r="B155" s="189"/>
      <c r="C155" s="191" t="s">
        <v>309</v>
      </c>
      <c r="D155" s="197" t="s">
        <v>260</v>
      </c>
      <c r="E155" s="489" t="s">
        <v>128</v>
      </c>
      <c r="F155" s="490"/>
      <c r="G155" s="491"/>
      <c r="H155" s="195">
        <f>H154</f>
        <v>160</v>
      </c>
      <c r="I155" s="204">
        <f>I154</f>
        <v>184</v>
      </c>
    </row>
    <row r="156" spans="1:9" s="78" customFormat="1" ht="12.75">
      <c r="A156" s="188"/>
      <c r="B156" s="189"/>
      <c r="C156" s="61" t="s">
        <v>143</v>
      </c>
      <c r="D156" s="62" t="s">
        <v>125</v>
      </c>
      <c r="E156" s="486" t="s">
        <v>125</v>
      </c>
      <c r="F156" s="487"/>
      <c r="G156" s="488"/>
      <c r="H156" s="195"/>
      <c r="I156" s="190"/>
    </row>
    <row r="157" spans="1:9" s="78" customFormat="1" ht="12.75">
      <c r="A157" s="188"/>
      <c r="B157" s="189"/>
      <c r="C157" s="200" t="s">
        <v>310</v>
      </c>
      <c r="D157" s="197" t="s">
        <v>145</v>
      </c>
      <c r="E157" s="489" t="s">
        <v>146</v>
      </c>
      <c r="F157" s="490"/>
      <c r="G157" s="491"/>
      <c r="H157" s="195">
        <v>2781400</v>
      </c>
      <c r="I157" s="204">
        <f>H157+401700</f>
        <v>3183100</v>
      </c>
    </row>
    <row r="158" spans="1:9" s="78" customFormat="1" ht="12.75">
      <c r="A158" s="188"/>
      <c r="B158" s="189"/>
      <c r="C158" s="191" t="s">
        <v>311</v>
      </c>
      <c r="D158" s="197" t="s">
        <v>145</v>
      </c>
      <c r="E158" s="489" t="s">
        <v>146</v>
      </c>
      <c r="F158" s="490"/>
      <c r="G158" s="491"/>
      <c r="H158" s="204">
        <v>7089</v>
      </c>
      <c r="I158" s="204">
        <v>8043.333866666669</v>
      </c>
    </row>
    <row r="159" spans="1:9" s="78" customFormat="1" ht="12.75">
      <c r="A159" s="188"/>
      <c r="B159" s="189"/>
      <c r="C159" s="191" t="s">
        <v>312</v>
      </c>
      <c r="D159" s="197" t="s">
        <v>145</v>
      </c>
      <c r="E159" s="489" t="s">
        <v>146</v>
      </c>
      <c r="F159" s="490"/>
      <c r="G159" s="491"/>
      <c r="H159" s="195">
        <f>369.8/H155*1000</f>
        <v>2311.2500000000005</v>
      </c>
      <c r="I159" s="204">
        <f>(369.8+100)/I155*1000</f>
        <v>2553.2608695652175</v>
      </c>
    </row>
    <row r="160" spans="1:9" s="78" customFormat="1" ht="26.25">
      <c r="A160" s="188"/>
      <c r="B160" s="189"/>
      <c r="C160" s="191" t="s">
        <v>313</v>
      </c>
      <c r="D160" s="197" t="s">
        <v>145</v>
      </c>
      <c r="E160" s="489" t="s">
        <v>146</v>
      </c>
      <c r="F160" s="490"/>
      <c r="G160" s="491"/>
      <c r="H160" s="195">
        <v>134</v>
      </c>
      <c r="I160" s="204">
        <f>H160</f>
        <v>134</v>
      </c>
    </row>
    <row r="161" spans="1:9" s="78" customFormat="1" ht="12.75">
      <c r="A161" s="188"/>
      <c r="B161" s="189"/>
      <c r="C161" s="61" t="s">
        <v>147</v>
      </c>
      <c r="D161" s="62" t="s">
        <v>125</v>
      </c>
      <c r="E161" s="486" t="s">
        <v>125</v>
      </c>
      <c r="F161" s="487"/>
      <c r="G161" s="488"/>
      <c r="H161" s="195"/>
      <c r="I161" s="190"/>
    </row>
    <row r="162" spans="1:9" s="78" customFormat="1" ht="12.75">
      <c r="A162" s="188"/>
      <c r="B162" s="189"/>
      <c r="C162" s="191" t="s">
        <v>314</v>
      </c>
      <c r="D162" s="197" t="s">
        <v>315</v>
      </c>
      <c r="E162" s="489" t="s">
        <v>270</v>
      </c>
      <c r="F162" s="490"/>
      <c r="G162" s="491"/>
      <c r="H162" s="195">
        <v>30</v>
      </c>
      <c r="I162" s="204">
        <v>31</v>
      </c>
    </row>
    <row r="163" spans="1:9" s="78" customFormat="1" ht="12.75">
      <c r="A163" s="188"/>
      <c r="B163" s="189"/>
      <c r="C163" s="191" t="s">
        <v>316</v>
      </c>
      <c r="D163" s="197" t="s">
        <v>123</v>
      </c>
      <c r="E163" s="489" t="s">
        <v>146</v>
      </c>
      <c r="F163" s="490"/>
      <c r="G163" s="491"/>
      <c r="H163" s="212">
        <f>H154/144-100%</f>
        <v>0.11111111111111116</v>
      </c>
      <c r="I163" s="212">
        <f>I154/144-100%</f>
        <v>0.2777777777777777</v>
      </c>
    </row>
    <row r="164" spans="1:9" s="78" customFormat="1" ht="12.75">
      <c r="A164" s="188"/>
      <c r="B164" s="189"/>
      <c r="C164" s="455" t="s">
        <v>317</v>
      </c>
      <c r="D164" s="456"/>
      <c r="E164" s="456"/>
      <c r="F164" s="456"/>
      <c r="G164" s="456"/>
      <c r="H164" s="456"/>
      <c r="I164" s="457"/>
    </row>
    <row r="165" spans="1:9" s="78" customFormat="1" ht="12.75">
      <c r="A165" s="188"/>
      <c r="B165" s="189"/>
      <c r="C165" s="61" t="s">
        <v>126</v>
      </c>
      <c r="D165" s="62" t="s">
        <v>125</v>
      </c>
      <c r="E165" s="486" t="s">
        <v>125</v>
      </c>
      <c r="F165" s="487"/>
      <c r="G165" s="488"/>
      <c r="H165" s="195"/>
      <c r="I165" s="190"/>
    </row>
    <row r="166" spans="1:9" s="78" customFormat="1" ht="12.75">
      <c r="A166" s="188"/>
      <c r="B166" s="189"/>
      <c r="C166" s="64" t="s">
        <v>149</v>
      </c>
      <c r="D166" s="65" t="s">
        <v>150</v>
      </c>
      <c r="E166" s="448" t="s">
        <v>128</v>
      </c>
      <c r="F166" s="449"/>
      <c r="G166" s="450"/>
      <c r="H166" s="195"/>
      <c r="I166" s="204">
        <v>20</v>
      </c>
    </row>
    <row r="167" spans="1:9" s="78" customFormat="1" ht="12.75">
      <c r="A167" s="188"/>
      <c r="B167" s="189"/>
      <c r="C167" s="61" t="s">
        <v>136</v>
      </c>
      <c r="D167" s="62" t="s">
        <v>125</v>
      </c>
      <c r="E167" s="486" t="s">
        <v>125</v>
      </c>
      <c r="F167" s="487"/>
      <c r="G167" s="488"/>
      <c r="H167" s="195"/>
      <c r="I167" s="190"/>
    </row>
    <row r="168" spans="1:9" s="78" customFormat="1" ht="12.75">
      <c r="A168" s="188"/>
      <c r="B168" s="189"/>
      <c r="C168" s="64" t="s">
        <v>151</v>
      </c>
      <c r="D168" s="65" t="s">
        <v>124</v>
      </c>
      <c r="E168" s="448" t="s">
        <v>128</v>
      </c>
      <c r="F168" s="449"/>
      <c r="G168" s="450"/>
      <c r="H168" s="195"/>
      <c r="I168" s="204">
        <v>1</v>
      </c>
    </row>
    <row r="169" spans="1:9" s="78" customFormat="1" ht="12.75">
      <c r="A169" s="188"/>
      <c r="B169" s="189"/>
      <c r="C169" s="61" t="s">
        <v>143</v>
      </c>
      <c r="D169" s="62" t="s">
        <v>125</v>
      </c>
      <c r="E169" s="486" t="s">
        <v>125</v>
      </c>
      <c r="F169" s="487"/>
      <c r="G169" s="488"/>
      <c r="H169" s="195"/>
      <c r="I169" s="190"/>
    </row>
    <row r="170" spans="1:9" s="78" customFormat="1" ht="12.75">
      <c r="A170" s="188"/>
      <c r="B170" s="189"/>
      <c r="C170" s="64" t="s">
        <v>318</v>
      </c>
      <c r="D170" s="65" t="s">
        <v>150</v>
      </c>
      <c r="E170" s="448" t="s">
        <v>146</v>
      </c>
      <c r="F170" s="449"/>
      <c r="G170" s="450"/>
      <c r="H170" s="195"/>
      <c r="I170" s="204">
        <f>I166/I168</f>
        <v>20</v>
      </c>
    </row>
    <row r="171" spans="1:9" s="78" customFormat="1" ht="12.75">
      <c r="A171" s="188"/>
      <c r="B171" s="189"/>
      <c r="C171" s="61" t="s">
        <v>147</v>
      </c>
      <c r="D171" s="62" t="s">
        <v>125</v>
      </c>
      <c r="E171" s="486" t="s">
        <v>125</v>
      </c>
      <c r="F171" s="487"/>
      <c r="G171" s="488"/>
      <c r="H171" s="195"/>
      <c r="I171" s="190"/>
    </row>
    <row r="172" spans="1:9" s="78" customFormat="1" ht="12.75">
      <c r="A172" s="188"/>
      <c r="B172" s="189"/>
      <c r="C172" s="64" t="s">
        <v>153</v>
      </c>
      <c r="D172" s="65" t="s">
        <v>123</v>
      </c>
      <c r="E172" s="448" t="s">
        <v>128</v>
      </c>
      <c r="F172" s="449"/>
      <c r="G172" s="450"/>
      <c r="H172" s="195"/>
      <c r="I172" s="204">
        <v>100</v>
      </c>
    </row>
    <row r="173" spans="1:9" s="78" customFormat="1" ht="12.75">
      <c r="A173" s="188"/>
      <c r="B173" s="154">
        <f>B75</f>
        <v>1115022</v>
      </c>
      <c r="C173" s="504" t="str">
        <f>C75</f>
        <v>Підпрограма Проведення навчально-тренувальних зборів і змагань та заходів зі спорту для осіб з інвалідністю</v>
      </c>
      <c r="D173" s="505"/>
      <c r="E173" s="505"/>
      <c r="F173" s="505"/>
      <c r="G173" s="505"/>
      <c r="H173" s="505"/>
      <c r="I173" s="506"/>
    </row>
    <row r="174" spans="1:16" s="78" customFormat="1" ht="12.75">
      <c r="A174" s="188"/>
      <c r="B174" s="189"/>
      <c r="C174" s="455" t="s">
        <v>325</v>
      </c>
      <c r="D174" s="456"/>
      <c r="E174" s="456"/>
      <c r="F174" s="456"/>
      <c r="G174" s="456"/>
      <c r="H174" s="456"/>
      <c r="I174" s="457"/>
      <c r="L174" s="78" t="s">
        <v>476</v>
      </c>
      <c r="P174" s="78" t="s">
        <v>476</v>
      </c>
    </row>
    <row r="175" spans="1:16" s="78" customFormat="1" ht="12.75">
      <c r="A175" s="188"/>
      <c r="B175" s="189"/>
      <c r="C175" s="61" t="s">
        <v>126</v>
      </c>
      <c r="D175" s="62" t="s">
        <v>125</v>
      </c>
      <c r="E175" s="486" t="s">
        <v>125</v>
      </c>
      <c r="F175" s="487"/>
      <c r="G175" s="488"/>
      <c r="H175" s="195"/>
      <c r="I175" s="190"/>
      <c r="J175" s="78">
        <f>J176+J177+J178</f>
        <v>710900</v>
      </c>
      <c r="K175" s="78">
        <f>K176+K177+K178</f>
        <v>369800</v>
      </c>
      <c r="N175" s="78">
        <f>N176+N177+N178</f>
        <v>50</v>
      </c>
      <c r="O175" s="78">
        <f>O176+O177+O178</f>
        <v>24</v>
      </c>
      <c r="P175" s="78">
        <f>P176+P177+P178</f>
        <v>3</v>
      </c>
    </row>
    <row r="176" spans="1:15" s="78" customFormat="1" ht="12.75">
      <c r="A176" s="188"/>
      <c r="B176" s="189"/>
      <c r="C176" s="193" t="s">
        <v>319</v>
      </c>
      <c r="D176" s="197" t="s">
        <v>124</v>
      </c>
      <c r="E176" s="489" t="s">
        <v>320</v>
      </c>
      <c r="F176" s="490"/>
      <c r="G176" s="491"/>
      <c r="H176" s="195">
        <v>21</v>
      </c>
      <c r="I176" s="204">
        <f>H176</f>
        <v>21</v>
      </c>
      <c r="J176" s="78">
        <v>318970</v>
      </c>
      <c r="K176" s="78">
        <f>369800-K177-K178</f>
        <v>45300</v>
      </c>
      <c r="M176" s="78" t="s">
        <v>473</v>
      </c>
      <c r="N176" s="78">
        <v>16</v>
      </c>
      <c r="O176" s="78">
        <v>5</v>
      </c>
    </row>
    <row r="177" spans="1:15" s="78" customFormat="1" ht="12.75">
      <c r="A177" s="188"/>
      <c r="B177" s="189"/>
      <c r="C177" s="61" t="s">
        <v>136</v>
      </c>
      <c r="D177" s="62" t="s">
        <v>125</v>
      </c>
      <c r="E177" s="486" t="s">
        <v>125</v>
      </c>
      <c r="F177" s="487"/>
      <c r="G177" s="488"/>
      <c r="H177" s="195" t="s">
        <v>125</v>
      </c>
      <c r="I177" s="190"/>
      <c r="J177" s="78">
        <v>153760</v>
      </c>
      <c r="K177" s="78">
        <v>79000</v>
      </c>
      <c r="M177" s="78" t="s">
        <v>474</v>
      </c>
      <c r="N177" s="78">
        <v>25</v>
      </c>
      <c r="O177" s="78">
        <v>9</v>
      </c>
    </row>
    <row r="178" spans="1:16" s="78" customFormat="1" ht="12.75">
      <c r="A178" s="188"/>
      <c r="B178" s="189"/>
      <c r="C178" s="193" t="s">
        <v>321</v>
      </c>
      <c r="D178" s="197" t="s">
        <v>124</v>
      </c>
      <c r="E178" s="489" t="s">
        <v>146</v>
      </c>
      <c r="F178" s="490"/>
      <c r="G178" s="491"/>
      <c r="H178" s="195">
        <v>3878</v>
      </c>
      <c r="I178" s="204">
        <f>H178</f>
        <v>3878</v>
      </c>
      <c r="J178" s="78">
        <f>221470+16700</f>
        <v>238170</v>
      </c>
      <c r="K178" s="78">
        <v>245500</v>
      </c>
      <c r="L178" s="78">
        <v>100000</v>
      </c>
      <c r="M178" s="78" t="s">
        <v>475</v>
      </c>
      <c r="N178" s="78">
        <v>9</v>
      </c>
      <c r="O178" s="78">
        <v>10</v>
      </c>
      <c r="P178" s="78">
        <v>3</v>
      </c>
    </row>
    <row r="179" spans="1:9" s="78" customFormat="1" ht="12.75">
      <c r="A179" s="188"/>
      <c r="B179" s="189"/>
      <c r="C179" s="61" t="s">
        <v>143</v>
      </c>
      <c r="D179" s="62" t="s">
        <v>125</v>
      </c>
      <c r="E179" s="486" t="s">
        <v>125</v>
      </c>
      <c r="F179" s="487"/>
      <c r="G179" s="488"/>
      <c r="H179" s="195" t="s">
        <v>125</v>
      </c>
      <c r="I179" s="190"/>
    </row>
    <row r="180" spans="1:9" s="78" customFormat="1" ht="12.75">
      <c r="A180" s="188"/>
      <c r="B180" s="189"/>
      <c r="C180" s="193" t="s">
        <v>322</v>
      </c>
      <c r="D180" s="197" t="s">
        <v>145</v>
      </c>
      <c r="E180" s="489" t="s">
        <v>146</v>
      </c>
      <c r="F180" s="490"/>
      <c r="G180" s="491"/>
      <c r="H180" s="204">
        <f>(J176+K176)/H178</f>
        <v>93.93243940175348</v>
      </c>
      <c r="I180" s="204">
        <f>H180</f>
        <v>93.93243940175348</v>
      </c>
    </row>
    <row r="181" spans="1:9" s="78" customFormat="1" ht="12.75">
      <c r="A181" s="188"/>
      <c r="B181" s="189"/>
      <c r="C181" s="61" t="s">
        <v>147</v>
      </c>
      <c r="D181" s="62" t="s">
        <v>125</v>
      </c>
      <c r="E181" s="486" t="s">
        <v>125</v>
      </c>
      <c r="F181" s="487"/>
      <c r="G181" s="488"/>
      <c r="H181" s="195" t="s">
        <v>125</v>
      </c>
      <c r="I181" s="190"/>
    </row>
    <row r="182" spans="1:9" s="78" customFormat="1" ht="26.25">
      <c r="A182" s="188"/>
      <c r="B182" s="189"/>
      <c r="C182" s="201" t="s">
        <v>323</v>
      </c>
      <c r="D182" s="62" t="s">
        <v>123</v>
      </c>
      <c r="E182" s="489" t="s">
        <v>146</v>
      </c>
      <c r="F182" s="490"/>
      <c r="G182" s="491"/>
      <c r="H182" s="195">
        <v>6</v>
      </c>
      <c r="I182" s="204">
        <v>8</v>
      </c>
    </row>
    <row r="183" spans="1:9" s="78" customFormat="1" ht="26.25">
      <c r="A183" s="188"/>
      <c r="B183" s="189"/>
      <c r="C183" s="201" t="s">
        <v>324</v>
      </c>
      <c r="D183" s="196" t="s">
        <v>123</v>
      </c>
      <c r="E183" s="495" t="s">
        <v>146</v>
      </c>
      <c r="F183" s="496"/>
      <c r="G183" s="497"/>
      <c r="H183" s="195">
        <v>7</v>
      </c>
      <c r="I183" s="204">
        <f>H183</f>
        <v>7</v>
      </c>
    </row>
    <row r="184" spans="1:9" s="78" customFormat="1" ht="12.75">
      <c r="A184" s="188"/>
      <c r="B184" s="189"/>
      <c r="C184" s="455" t="s">
        <v>326</v>
      </c>
      <c r="D184" s="456"/>
      <c r="E184" s="456"/>
      <c r="F184" s="456"/>
      <c r="G184" s="456"/>
      <c r="H184" s="456"/>
      <c r="I184" s="457"/>
    </row>
    <row r="185" spans="1:9" s="78" customFormat="1" ht="12.75">
      <c r="A185" s="188"/>
      <c r="B185" s="189"/>
      <c r="C185" s="202" t="s">
        <v>327</v>
      </c>
      <c r="D185" s="197" t="s">
        <v>125</v>
      </c>
      <c r="E185" s="489" t="s">
        <v>125</v>
      </c>
      <c r="F185" s="490"/>
      <c r="G185" s="491"/>
      <c r="H185" s="195"/>
      <c r="I185" s="190"/>
    </row>
    <row r="186" spans="1:9" s="78" customFormat="1" ht="26.25">
      <c r="A186" s="188"/>
      <c r="B186" s="189"/>
      <c r="C186" s="193" t="s">
        <v>328</v>
      </c>
      <c r="D186" s="194" t="s">
        <v>145</v>
      </c>
      <c r="E186" s="489" t="s">
        <v>270</v>
      </c>
      <c r="F186" s="490"/>
      <c r="G186" s="491"/>
      <c r="H186" s="195">
        <f>J177+K177</f>
        <v>232760</v>
      </c>
      <c r="I186" s="204">
        <f>H186</f>
        <v>232760</v>
      </c>
    </row>
    <row r="187" spans="1:9" s="78" customFormat="1" ht="12.75">
      <c r="A187" s="188"/>
      <c r="B187" s="189"/>
      <c r="C187" s="202" t="s">
        <v>329</v>
      </c>
      <c r="D187" s="197" t="s">
        <v>125</v>
      </c>
      <c r="E187" s="489" t="s">
        <v>125</v>
      </c>
      <c r="F187" s="490"/>
      <c r="G187" s="491"/>
      <c r="H187" s="195" t="s">
        <v>125</v>
      </c>
      <c r="I187" s="190"/>
    </row>
    <row r="188" spans="1:9" s="78" customFormat="1" ht="26.25">
      <c r="A188" s="188"/>
      <c r="B188" s="189"/>
      <c r="C188" s="193" t="s">
        <v>330</v>
      </c>
      <c r="D188" s="194" t="s">
        <v>260</v>
      </c>
      <c r="E188" s="489" t="s">
        <v>270</v>
      </c>
      <c r="F188" s="490"/>
      <c r="G188" s="491"/>
      <c r="H188" s="195">
        <v>288</v>
      </c>
      <c r="I188" s="204">
        <f>H188</f>
        <v>288</v>
      </c>
    </row>
    <row r="189" spans="1:9" s="78" customFormat="1" ht="12.75">
      <c r="A189" s="188"/>
      <c r="B189" s="189"/>
      <c r="C189" s="202" t="s">
        <v>331</v>
      </c>
      <c r="D189" s="203" t="s">
        <v>125</v>
      </c>
      <c r="E189" s="492" t="s">
        <v>125</v>
      </c>
      <c r="F189" s="493"/>
      <c r="G189" s="494"/>
      <c r="H189" s="195"/>
      <c r="I189" s="190"/>
    </row>
    <row r="190" spans="1:9" s="78" customFormat="1" ht="26.25">
      <c r="A190" s="188"/>
      <c r="B190" s="189"/>
      <c r="C190" s="193" t="s">
        <v>332</v>
      </c>
      <c r="D190" s="194" t="s">
        <v>145</v>
      </c>
      <c r="E190" s="489" t="s">
        <v>146</v>
      </c>
      <c r="F190" s="490"/>
      <c r="G190" s="491"/>
      <c r="H190" s="204">
        <f>H186/H188</f>
        <v>808.1944444444445</v>
      </c>
      <c r="I190" s="204">
        <f>H190</f>
        <v>808.1944444444445</v>
      </c>
    </row>
    <row r="191" spans="1:9" s="78" customFormat="1" ht="12.75">
      <c r="A191" s="188"/>
      <c r="B191" s="189"/>
      <c r="C191" s="202" t="s">
        <v>333</v>
      </c>
      <c r="D191" s="197" t="s">
        <v>125</v>
      </c>
      <c r="E191" s="489" t="s">
        <v>125</v>
      </c>
      <c r="F191" s="490"/>
      <c r="G191" s="491"/>
      <c r="H191" s="195" t="s">
        <v>125</v>
      </c>
      <c r="I191" s="190"/>
    </row>
    <row r="192" spans="1:9" s="78" customFormat="1" ht="26.25">
      <c r="A192" s="188"/>
      <c r="B192" s="189"/>
      <c r="C192" s="201" t="s">
        <v>334</v>
      </c>
      <c r="D192" s="196" t="s">
        <v>260</v>
      </c>
      <c r="E192" s="489" t="s">
        <v>270</v>
      </c>
      <c r="F192" s="490"/>
      <c r="G192" s="491"/>
      <c r="H192" s="195">
        <v>60</v>
      </c>
      <c r="I192" s="204">
        <f>H192</f>
        <v>60</v>
      </c>
    </row>
    <row r="193" spans="1:9" s="78" customFormat="1" ht="26.25">
      <c r="A193" s="188"/>
      <c r="B193" s="189"/>
      <c r="C193" s="201" t="s">
        <v>335</v>
      </c>
      <c r="D193" s="196" t="s">
        <v>123</v>
      </c>
      <c r="E193" s="489" t="s">
        <v>146</v>
      </c>
      <c r="F193" s="490"/>
      <c r="G193" s="491"/>
      <c r="H193" s="195">
        <v>13.2</v>
      </c>
      <c r="I193" s="204">
        <f>H193</f>
        <v>13.2</v>
      </c>
    </row>
    <row r="194" spans="1:9" s="78" customFormat="1" ht="12.75">
      <c r="A194" s="188"/>
      <c r="B194" s="189"/>
      <c r="C194" s="455" t="s">
        <v>336</v>
      </c>
      <c r="D194" s="456"/>
      <c r="E194" s="456"/>
      <c r="F194" s="456"/>
      <c r="G194" s="456"/>
      <c r="H194" s="456"/>
      <c r="I194" s="457"/>
    </row>
    <row r="195" spans="1:9" s="78" customFormat="1" ht="12.75">
      <c r="A195" s="188"/>
      <c r="B195" s="189"/>
      <c r="C195" s="202" t="s">
        <v>327</v>
      </c>
      <c r="D195" s="197" t="s">
        <v>125</v>
      </c>
      <c r="E195" s="489" t="s">
        <v>125</v>
      </c>
      <c r="F195" s="490"/>
      <c r="G195" s="491"/>
      <c r="H195" s="195"/>
      <c r="I195" s="190"/>
    </row>
    <row r="196" spans="1:9" s="78" customFormat="1" ht="26.25">
      <c r="A196" s="188"/>
      <c r="B196" s="189"/>
      <c r="C196" s="193" t="s">
        <v>337</v>
      </c>
      <c r="D196" s="194" t="s">
        <v>124</v>
      </c>
      <c r="E196" s="489" t="s">
        <v>320</v>
      </c>
      <c r="F196" s="490"/>
      <c r="G196" s="491"/>
      <c r="H196" s="195">
        <v>19</v>
      </c>
      <c r="I196" s="204">
        <f>H196+3</f>
        <v>22</v>
      </c>
    </row>
    <row r="197" spans="1:9" s="78" customFormat="1" ht="12.75">
      <c r="A197" s="188"/>
      <c r="B197" s="189"/>
      <c r="C197" s="202" t="s">
        <v>329</v>
      </c>
      <c r="D197" s="197" t="s">
        <v>125</v>
      </c>
      <c r="E197" s="489" t="s">
        <v>125</v>
      </c>
      <c r="F197" s="490"/>
      <c r="G197" s="491"/>
      <c r="H197" s="195" t="s">
        <v>125</v>
      </c>
      <c r="I197" s="190"/>
    </row>
    <row r="198" spans="1:9" s="78" customFormat="1" ht="26.25">
      <c r="A198" s="188"/>
      <c r="B198" s="189"/>
      <c r="C198" s="193" t="s">
        <v>338</v>
      </c>
      <c r="D198" s="194" t="s">
        <v>124</v>
      </c>
      <c r="E198" s="489" t="s">
        <v>146</v>
      </c>
      <c r="F198" s="490"/>
      <c r="G198" s="491"/>
      <c r="H198" s="195">
        <v>3256</v>
      </c>
      <c r="I198" s="204">
        <f>H198+486</f>
        <v>3742</v>
      </c>
    </row>
    <row r="199" spans="1:9" s="78" customFormat="1" ht="12.75">
      <c r="A199" s="188"/>
      <c r="B199" s="189"/>
      <c r="C199" s="202" t="s">
        <v>331</v>
      </c>
      <c r="D199" s="197" t="s">
        <v>125</v>
      </c>
      <c r="E199" s="489" t="s">
        <v>125</v>
      </c>
      <c r="F199" s="490"/>
      <c r="G199" s="491"/>
      <c r="H199" s="195" t="s">
        <v>125</v>
      </c>
      <c r="I199" s="190"/>
    </row>
    <row r="200" spans="1:9" s="78" customFormat="1" ht="26.25">
      <c r="A200" s="188"/>
      <c r="B200" s="189"/>
      <c r="C200" s="193" t="s">
        <v>339</v>
      </c>
      <c r="D200" s="194" t="s">
        <v>145</v>
      </c>
      <c r="E200" s="489" t="s">
        <v>146</v>
      </c>
      <c r="F200" s="490"/>
      <c r="G200" s="491"/>
      <c r="H200" s="204">
        <f>(J178+K178)/H198</f>
        <v>148.5472972972973</v>
      </c>
      <c r="I200" s="204">
        <f>(J178+L178+K178)/I198</f>
        <v>155.97808658471405</v>
      </c>
    </row>
    <row r="201" spans="1:9" s="78" customFormat="1" ht="12.75">
      <c r="A201" s="188"/>
      <c r="B201" s="189"/>
      <c r="C201" s="202" t="s">
        <v>333</v>
      </c>
      <c r="D201" s="197" t="s">
        <v>125</v>
      </c>
      <c r="E201" s="489" t="s">
        <v>125</v>
      </c>
      <c r="F201" s="490"/>
      <c r="G201" s="491"/>
      <c r="H201" s="195" t="s">
        <v>125</v>
      </c>
      <c r="I201" s="190"/>
    </row>
    <row r="202" spans="1:9" s="78" customFormat="1" ht="26.25">
      <c r="A202" s="188"/>
      <c r="B202" s="189"/>
      <c r="C202" s="201" t="s">
        <v>340</v>
      </c>
      <c r="D202" s="196" t="s">
        <v>123</v>
      </c>
      <c r="E202" s="489" t="s">
        <v>146</v>
      </c>
      <c r="F202" s="490"/>
      <c r="G202" s="491"/>
      <c r="H202" s="195">
        <v>0</v>
      </c>
      <c r="I202" s="211">
        <f>I196/H196-100%</f>
        <v>0.1578947368421053</v>
      </c>
    </row>
    <row r="203" ht="1.5" customHeight="1">
      <c r="A203" s="22"/>
    </row>
    <row r="204" spans="1:9" ht="18" customHeight="1">
      <c r="A204" s="444" t="s">
        <v>27</v>
      </c>
      <c r="B204" s="444"/>
      <c r="C204" s="444"/>
      <c r="D204" s="444"/>
      <c r="E204" s="444"/>
      <c r="F204" s="444"/>
      <c r="G204" s="444"/>
      <c r="H204" s="444"/>
      <c r="I204" s="444"/>
    </row>
    <row r="205" spans="1:9" ht="15">
      <c r="A205" s="446"/>
      <c r="B205" s="446"/>
      <c r="C205" s="446"/>
      <c r="D205" s="446"/>
      <c r="E205" s="446"/>
      <c r="F205" s="446"/>
      <c r="G205" s="446"/>
      <c r="H205" s="446"/>
      <c r="I205" s="446"/>
    </row>
    <row r="206" spans="1:9" ht="15">
      <c r="A206" s="446"/>
      <c r="B206" s="446"/>
      <c r="C206" s="446"/>
      <c r="D206" s="446"/>
      <c r="E206" s="446"/>
      <c r="F206" s="446"/>
      <c r="G206" s="446"/>
      <c r="H206" s="446"/>
      <c r="I206" s="446"/>
    </row>
    <row r="207" spans="1:9" ht="15">
      <c r="A207" s="442" t="s">
        <v>210</v>
      </c>
      <c r="B207" s="442"/>
      <c r="C207" s="442"/>
      <c r="D207" s="442"/>
      <c r="E207" s="442"/>
      <c r="F207" s="442"/>
      <c r="G207" s="442"/>
      <c r="H207" s="442"/>
      <c r="I207" s="442"/>
    </row>
    <row r="208" ht="12.75">
      <c r="I208" s="2" t="s">
        <v>4</v>
      </c>
    </row>
    <row r="209" spans="1:9" s="19" customFormat="1" ht="12.75">
      <c r="A209" s="443" t="s">
        <v>3</v>
      </c>
      <c r="B209" s="443"/>
      <c r="C209" s="23"/>
      <c r="D209" s="18"/>
      <c r="E209" s="18"/>
      <c r="F209" s="18"/>
      <c r="G209" s="18"/>
      <c r="H209" s="443"/>
      <c r="I209" s="443"/>
    </row>
    <row r="210" ht="6.75" customHeight="1">
      <c r="A210" s="3"/>
    </row>
    <row r="211" spans="1:9" ht="17.25" customHeight="1">
      <c r="A211" s="444" t="s">
        <v>211</v>
      </c>
      <c r="B211" s="444"/>
      <c r="C211" s="444"/>
      <c r="D211" s="444"/>
      <c r="E211" s="444"/>
      <c r="F211" s="444"/>
      <c r="G211" s="444"/>
      <c r="H211" s="444"/>
      <c r="I211" s="444"/>
    </row>
    <row r="212" ht="12.75">
      <c r="I212" s="2" t="s">
        <v>4</v>
      </c>
    </row>
    <row r="213" spans="1:9" ht="36.75" customHeight="1">
      <c r="A213" s="441" t="s">
        <v>23</v>
      </c>
      <c r="B213" s="441"/>
      <c r="C213" s="441" t="s">
        <v>1</v>
      </c>
      <c r="D213" s="441" t="s">
        <v>7</v>
      </c>
      <c r="E213" s="441"/>
      <c r="F213" s="441" t="s">
        <v>178</v>
      </c>
      <c r="G213" s="441"/>
      <c r="H213" s="441" t="s">
        <v>212</v>
      </c>
      <c r="I213" s="441"/>
    </row>
    <row r="214" spans="1:9" ht="36" customHeight="1">
      <c r="A214" s="441"/>
      <c r="B214" s="441"/>
      <c r="C214" s="441"/>
      <c r="D214" s="14" t="s">
        <v>28</v>
      </c>
      <c r="E214" s="14" t="s">
        <v>36</v>
      </c>
      <c r="F214" s="14" t="s">
        <v>28</v>
      </c>
      <c r="G214" s="14" t="s">
        <v>36</v>
      </c>
      <c r="H214" s="441"/>
      <c r="I214" s="441"/>
    </row>
    <row r="215" spans="1:9" ht="13.5" thickBot="1">
      <c r="A215" s="445">
        <v>1</v>
      </c>
      <c r="B215" s="445"/>
      <c r="C215" s="17">
        <v>2</v>
      </c>
      <c r="D215" s="16">
        <v>3</v>
      </c>
      <c r="E215" s="16">
        <v>4</v>
      </c>
      <c r="F215" s="16">
        <v>5</v>
      </c>
      <c r="G215" s="16">
        <v>6</v>
      </c>
      <c r="H215" s="445">
        <v>7</v>
      </c>
      <c r="I215" s="445"/>
    </row>
    <row r="216" spans="1:9" ht="13.5" thickTop="1">
      <c r="A216" s="447"/>
      <c r="B216" s="447"/>
      <c r="C216" s="15"/>
      <c r="D216" s="25"/>
      <c r="E216" s="25"/>
      <c r="F216" s="25"/>
      <c r="G216" s="25"/>
      <c r="H216" s="440"/>
      <c r="I216" s="440"/>
    </row>
    <row r="217" spans="1:9" ht="12.75">
      <c r="A217" s="402"/>
      <c r="B217" s="402"/>
      <c r="C217" s="12"/>
      <c r="D217" s="11"/>
      <c r="E217" s="11"/>
      <c r="F217" s="11"/>
      <c r="G217" s="11"/>
      <c r="H217" s="427"/>
      <c r="I217" s="427"/>
    </row>
    <row r="218" spans="1:9" ht="12.75">
      <c r="A218" s="402"/>
      <c r="B218" s="402"/>
      <c r="C218" s="12"/>
      <c r="D218" s="11"/>
      <c r="E218" s="11"/>
      <c r="F218" s="11"/>
      <c r="G218" s="11"/>
      <c r="H218" s="427"/>
      <c r="I218" s="427"/>
    </row>
    <row r="219" spans="1:9" ht="12.75">
      <c r="A219" s="402"/>
      <c r="B219" s="402"/>
      <c r="C219" s="12"/>
      <c r="D219" s="11"/>
      <c r="E219" s="11"/>
      <c r="F219" s="11"/>
      <c r="G219" s="11"/>
      <c r="H219" s="427"/>
      <c r="I219" s="427"/>
    </row>
    <row r="220" spans="1:9" ht="12.75">
      <c r="A220" s="402"/>
      <c r="B220" s="402"/>
      <c r="C220" s="12"/>
      <c r="D220" s="11"/>
      <c r="E220" s="11"/>
      <c r="F220" s="11"/>
      <c r="G220" s="11"/>
      <c r="H220" s="427"/>
      <c r="I220" s="427"/>
    </row>
    <row r="221" ht="9" customHeight="1">
      <c r="A221" s="1"/>
    </row>
    <row r="222" spans="1:9" ht="14.25" customHeight="1">
      <c r="A222" s="444" t="s">
        <v>25</v>
      </c>
      <c r="B222" s="444"/>
      <c r="C222" s="444"/>
      <c r="D222" s="444"/>
      <c r="E222" s="444"/>
      <c r="F222" s="444"/>
      <c r="G222" s="444"/>
      <c r="H222" s="444"/>
      <c r="I222" s="444"/>
    </row>
    <row r="223" spans="1:9" ht="72.75" customHeight="1">
      <c r="A223" s="14" t="s">
        <v>20</v>
      </c>
      <c r="B223" s="8" t="s">
        <v>0</v>
      </c>
      <c r="C223" s="14" t="s">
        <v>1</v>
      </c>
      <c r="D223" s="14" t="s">
        <v>14</v>
      </c>
      <c r="E223" s="14" t="s">
        <v>15</v>
      </c>
      <c r="F223" s="14" t="s">
        <v>29</v>
      </c>
      <c r="G223" s="14" t="s">
        <v>30</v>
      </c>
      <c r="H223" s="14" t="s">
        <v>31</v>
      </c>
      <c r="I223" s="14" t="s">
        <v>32</v>
      </c>
    </row>
    <row r="224" spans="1:9" ht="13.5" thickBot="1">
      <c r="A224" s="17">
        <v>1</v>
      </c>
      <c r="B224" s="17">
        <v>2</v>
      </c>
      <c r="C224" s="16">
        <v>3</v>
      </c>
      <c r="D224" s="16">
        <v>4</v>
      </c>
      <c r="E224" s="16">
        <v>5</v>
      </c>
      <c r="F224" s="16">
        <v>6</v>
      </c>
      <c r="G224" s="16">
        <v>7</v>
      </c>
      <c r="H224" s="16">
        <v>8</v>
      </c>
      <c r="I224" s="16">
        <v>9</v>
      </c>
    </row>
    <row r="225" spans="1:9" ht="13.5" hidden="1" thickTop="1">
      <c r="A225" s="24"/>
      <c r="B225" s="26"/>
      <c r="C225" s="26" t="s">
        <v>10</v>
      </c>
      <c r="D225" s="24"/>
      <c r="E225" s="24"/>
      <c r="F225" s="24"/>
      <c r="G225" s="24"/>
      <c r="H225" s="210"/>
      <c r="I225" s="24"/>
    </row>
    <row r="226" spans="1:9" ht="13.5" hidden="1" thickTop="1">
      <c r="A226" s="18"/>
      <c r="B226" s="12"/>
      <c r="C226" s="12" t="s">
        <v>26</v>
      </c>
      <c r="D226" s="18"/>
      <c r="E226" s="18"/>
      <c r="F226" s="18"/>
      <c r="G226" s="18"/>
      <c r="H226" s="179"/>
      <c r="I226" s="18"/>
    </row>
    <row r="227" spans="1:9" ht="13.5" hidden="1" thickTop="1">
      <c r="A227" s="18"/>
      <c r="B227" s="12"/>
      <c r="C227" s="12" t="s">
        <v>16</v>
      </c>
      <c r="D227" s="18"/>
      <c r="E227" s="18"/>
      <c r="F227" s="18"/>
      <c r="G227" s="18"/>
      <c r="H227" s="179"/>
      <c r="I227" s="18"/>
    </row>
    <row r="228" spans="1:9" ht="13.5" hidden="1" thickTop="1">
      <c r="A228" s="18"/>
      <c r="B228" s="12"/>
      <c r="C228" s="12" t="s">
        <v>2</v>
      </c>
      <c r="D228" s="18"/>
      <c r="E228" s="18"/>
      <c r="F228" s="18"/>
      <c r="G228" s="18"/>
      <c r="H228" s="179"/>
      <c r="I228" s="18"/>
    </row>
    <row r="229" spans="1:9" ht="13.5" hidden="1" thickTop="1">
      <c r="A229" s="18"/>
      <c r="B229" s="12"/>
      <c r="C229" s="12" t="s">
        <v>17</v>
      </c>
      <c r="D229" s="18"/>
      <c r="E229" s="18"/>
      <c r="F229" s="18"/>
      <c r="G229" s="18"/>
      <c r="H229" s="179"/>
      <c r="I229" s="18"/>
    </row>
    <row r="230" spans="1:9" ht="13.5" hidden="1" thickTop="1">
      <c r="A230" s="18"/>
      <c r="B230" s="12"/>
      <c r="C230" s="12" t="s">
        <v>2</v>
      </c>
      <c r="D230" s="18"/>
      <c r="E230" s="18"/>
      <c r="F230" s="18"/>
      <c r="G230" s="18"/>
      <c r="H230" s="179"/>
      <c r="I230" s="18"/>
    </row>
    <row r="231" spans="1:9" ht="13.5" hidden="1" thickTop="1">
      <c r="A231" s="18"/>
      <c r="B231" s="12"/>
      <c r="C231" s="12" t="s">
        <v>18</v>
      </c>
      <c r="D231" s="18"/>
      <c r="E231" s="18"/>
      <c r="F231" s="18"/>
      <c r="G231" s="18"/>
      <c r="H231" s="179"/>
      <c r="I231" s="18"/>
    </row>
    <row r="232" spans="1:9" ht="13.5" hidden="1" thickTop="1">
      <c r="A232" s="18"/>
      <c r="B232" s="12"/>
      <c r="C232" s="12" t="s">
        <v>33</v>
      </c>
      <c r="D232" s="18"/>
      <c r="E232" s="18"/>
      <c r="F232" s="18"/>
      <c r="G232" s="18"/>
      <c r="H232" s="179"/>
      <c r="I232" s="18"/>
    </row>
    <row r="233" spans="1:9" ht="13.5" hidden="1" thickTop="1">
      <c r="A233" s="18"/>
      <c r="B233" s="12"/>
      <c r="C233" s="12" t="s">
        <v>19</v>
      </c>
      <c r="D233" s="18"/>
      <c r="E233" s="18"/>
      <c r="F233" s="18"/>
      <c r="G233" s="18"/>
      <c r="H233" s="179"/>
      <c r="I233" s="18"/>
    </row>
    <row r="234" spans="1:9" ht="13.5" hidden="1" thickTop="1">
      <c r="A234" s="18"/>
      <c r="B234" s="12"/>
      <c r="C234" s="12" t="s">
        <v>2</v>
      </c>
      <c r="D234" s="18"/>
      <c r="E234" s="18"/>
      <c r="F234" s="18"/>
      <c r="G234" s="18"/>
      <c r="H234" s="179"/>
      <c r="I234" s="18"/>
    </row>
    <row r="235" spans="1:9" ht="13.5" hidden="1" thickTop="1">
      <c r="A235" s="18"/>
      <c r="B235" s="13"/>
      <c r="C235" s="13" t="s">
        <v>11</v>
      </c>
      <c r="D235" s="18"/>
      <c r="E235" s="18"/>
      <c r="F235" s="18"/>
      <c r="G235" s="18"/>
      <c r="H235" s="179"/>
      <c r="I235" s="18"/>
    </row>
    <row r="236" spans="1:9" ht="13.5" thickTop="1">
      <c r="A236" s="18"/>
      <c r="B236" s="12"/>
      <c r="C236" s="12" t="s">
        <v>2</v>
      </c>
      <c r="D236" s="18"/>
      <c r="E236" s="18"/>
      <c r="F236" s="18"/>
      <c r="G236" s="18"/>
      <c r="H236" s="179"/>
      <c r="I236" s="18"/>
    </row>
    <row r="237" ht="12.75">
      <c r="A237" s="22"/>
    </row>
    <row r="238" spans="1:9" ht="30.75" customHeight="1">
      <c r="A238" s="444" t="s">
        <v>34</v>
      </c>
      <c r="B238" s="444"/>
      <c r="C238" s="444"/>
      <c r="D238" s="444"/>
      <c r="E238" s="444"/>
      <c r="F238" s="444"/>
      <c r="G238" s="444"/>
      <c r="H238" s="444"/>
      <c r="I238" s="444"/>
    </row>
    <row r="239" spans="1:9" ht="6" customHeight="1">
      <c r="A239" s="446"/>
      <c r="B239" s="446"/>
      <c r="C239" s="446"/>
      <c r="D239" s="446"/>
      <c r="E239" s="446"/>
      <c r="F239" s="446"/>
      <c r="G239" s="446"/>
      <c r="H239" s="446"/>
      <c r="I239" s="446"/>
    </row>
    <row r="240" spans="1:9" ht="15">
      <c r="A240" s="442" t="s">
        <v>213</v>
      </c>
      <c r="B240" s="442"/>
      <c r="C240" s="442"/>
      <c r="D240" s="442"/>
      <c r="E240" s="442"/>
      <c r="F240" s="442"/>
      <c r="G240" s="442"/>
      <c r="H240" s="442"/>
      <c r="I240" s="442"/>
    </row>
    <row r="241" spans="1:9" ht="12.75">
      <c r="A241" s="2" t="s">
        <v>35</v>
      </c>
      <c r="I241" s="2" t="s">
        <v>4</v>
      </c>
    </row>
    <row r="242" spans="1:9" s="19" customFormat="1" ht="12.75">
      <c r="A242" s="443" t="s">
        <v>3</v>
      </c>
      <c r="B242" s="443"/>
      <c r="C242" s="23"/>
      <c r="D242" s="18"/>
      <c r="E242" s="18"/>
      <c r="F242" s="18"/>
      <c r="G242" s="18"/>
      <c r="H242" s="443"/>
      <c r="I242" s="443"/>
    </row>
    <row r="243" ht="12.75">
      <c r="A243" s="4"/>
    </row>
    <row r="244" ht="12.75">
      <c r="A244" s="4"/>
    </row>
    <row r="245" spans="1:9" ht="18.75" customHeight="1">
      <c r="A245" s="393" t="s">
        <v>159</v>
      </c>
      <c r="B245" s="393"/>
      <c r="C245" s="393"/>
      <c r="E245" s="392" t="s">
        <v>8</v>
      </c>
      <c r="F245" s="392"/>
      <c r="H245" s="392" t="s">
        <v>108</v>
      </c>
      <c r="I245" s="392"/>
    </row>
    <row r="246" spans="1:9" ht="15">
      <c r="A246" s="5"/>
      <c r="B246" s="5"/>
      <c r="E246" s="431" t="s">
        <v>5</v>
      </c>
      <c r="F246" s="431"/>
      <c r="H246" s="431" t="s">
        <v>6</v>
      </c>
      <c r="I246" s="431"/>
    </row>
    <row r="247" spans="1:8" ht="12.75" customHeight="1">
      <c r="A247" s="10"/>
      <c r="B247" s="10"/>
      <c r="E247" s="9"/>
      <c r="H247" s="177"/>
    </row>
    <row r="248" spans="1:9" ht="18.75" customHeight="1">
      <c r="A248" s="393" t="s">
        <v>107</v>
      </c>
      <c r="B248" s="393"/>
      <c r="C248" s="393"/>
      <c r="E248" s="392" t="s">
        <v>8</v>
      </c>
      <c r="F248" s="392"/>
      <c r="H248" s="392" t="s">
        <v>109</v>
      </c>
      <c r="I248" s="392"/>
    </row>
    <row r="249" spans="1:9" ht="15">
      <c r="A249" s="5"/>
      <c r="E249" s="431" t="s">
        <v>5</v>
      </c>
      <c r="F249" s="431"/>
      <c r="H249" s="431" t="s">
        <v>6</v>
      </c>
      <c r="I249" s="431"/>
    </row>
    <row r="250" ht="12.75">
      <c r="A250" s="4"/>
    </row>
    <row r="251" ht="12.75">
      <c r="A251" s="4"/>
    </row>
  </sheetData>
  <sheetProtection/>
  <mergeCells count="178">
    <mergeCell ref="A1:I1"/>
    <mergeCell ref="A3:I3"/>
    <mergeCell ref="A4:I4"/>
    <mergeCell ref="B5:J5"/>
    <mergeCell ref="B6:J6"/>
    <mergeCell ref="B12:I12"/>
    <mergeCell ref="H29:I29"/>
    <mergeCell ref="H30:I30"/>
    <mergeCell ref="H31:I31"/>
    <mergeCell ref="A14:B15"/>
    <mergeCell ref="C14:C15"/>
    <mergeCell ref="D14:D15"/>
    <mergeCell ref="E14:E15"/>
    <mergeCell ref="F14:G14"/>
    <mergeCell ref="H14:I15"/>
    <mergeCell ref="H20:I24"/>
    <mergeCell ref="A16:B16"/>
    <mergeCell ref="H16:I16"/>
    <mergeCell ref="H25:I25"/>
    <mergeCell ref="H26:I26"/>
    <mergeCell ref="H27:I27"/>
    <mergeCell ref="H28:I28"/>
    <mergeCell ref="E153:G153"/>
    <mergeCell ref="E154:G154"/>
    <mergeCell ref="E145:G145"/>
    <mergeCell ref="E146:G146"/>
    <mergeCell ref="E147:G147"/>
    <mergeCell ref="E141:G141"/>
    <mergeCell ref="E142:G142"/>
    <mergeCell ref="E143:G143"/>
    <mergeCell ref="E144:G144"/>
    <mergeCell ref="E150:G150"/>
    <mergeCell ref="E162:G162"/>
    <mergeCell ref="E156:G156"/>
    <mergeCell ref="E157:G157"/>
    <mergeCell ref="E158:G158"/>
    <mergeCell ref="E159:G159"/>
    <mergeCell ref="E160:G160"/>
    <mergeCell ref="A204:I204"/>
    <mergeCell ref="A205:I205"/>
    <mergeCell ref="A206:I206"/>
    <mergeCell ref="E165:G165"/>
    <mergeCell ref="E163:G163"/>
    <mergeCell ref="C164:I164"/>
    <mergeCell ref="E166:G166"/>
    <mergeCell ref="E171:G171"/>
    <mergeCell ref="E172:G172"/>
    <mergeCell ref="C173:I173"/>
    <mergeCell ref="A207:I207"/>
    <mergeCell ref="A209:B209"/>
    <mergeCell ref="H209:I209"/>
    <mergeCell ref="A211:I211"/>
    <mergeCell ref="A213:B214"/>
    <mergeCell ref="C213:C214"/>
    <mergeCell ref="D213:E213"/>
    <mergeCell ref="F213:G213"/>
    <mergeCell ref="H213:I214"/>
    <mergeCell ref="A215:B215"/>
    <mergeCell ref="H215:I215"/>
    <mergeCell ref="A216:B216"/>
    <mergeCell ref="H216:I216"/>
    <mergeCell ref="A217:B217"/>
    <mergeCell ref="H217:I217"/>
    <mergeCell ref="A218:B218"/>
    <mergeCell ref="H218:I218"/>
    <mergeCell ref="A219:B219"/>
    <mergeCell ref="H219:I219"/>
    <mergeCell ref="A220:B220"/>
    <mergeCell ref="H220:I220"/>
    <mergeCell ref="A222:I222"/>
    <mergeCell ref="A238:I238"/>
    <mergeCell ref="A239:I239"/>
    <mergeCell ref="A240:I240"/>
    <mergeCell ref="A242:B242"/>
    <mergeCell ref="H242:I242"/>
    <mergeCell ref="A245:C245"/>
    <mergeCell ref="E245:F245"/>
    <mergeCell ref="H245:I245"/>
    <mergeCell ref="E246:F246"/>
    <mergeCell ref="H246:I246"/>
    <mergeCell ref="A248:C248"/>
    <mergeCell ref="E248:F248"/>
    <mergeCell ref="H248:I248"/>
    <mergeCell ref="E249:F249"/>
    <mergeCell ref="H249:I249"/>
    <mergeCell ref="H17:I17"/>
    <mergeCell ref="H18:I18"/>
    <mergeCell ref="H19:I19"/>
    <mergeCell ref="H54:I56"/>
    <mergeCell ref="H76:I1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71:I71"/>
    <mergeCell ref="H72:I72"/>
    <mergeCell ref="H73:I73"/>
    <mergeCell ref="H74:I74"/>
    <mergeCell ref="H75:I75"/>
    <mergeCell ref="C136:I136"/>
    <mergeCell ref="C137:I137"/>
    <mergeCell ref="E139:G139"/>
    <mergeCell ref="E140:G140"/>
    <mergeCell ref="E134:G134"/>
    <mergeCell ref="E135:G135"/>
    <mergeCell ref="C138:I138"/>
    <mergeCell ref="A133:I133"/>
    <mergeCell ref="C148:I148"/>
    <mergeCell ref="E149:G149"/>
    <mergeCell ref="E167:G167"/>
    <mergeCell ref="E168:G168"/>
    <mergeCell ref="E169:G169"/>
    <mergeCell ref="E170:G170"/>
    <mergeCell ref="E151:G151"/>
    <mergeCell ref="E152:G152"/>
    <mergeCell ref="E161:G161"/>
    <mergeCell ref="E155:G155"/>
    <mergeCell ref="C174:I174"/>
    <mergeCell ref="E183:G183"/>
    <mergeCell ref="E182:G182"/>
    <mergeCell ref="E181:G181"/>
    <mergeCell ref="E180:G180"/>
    <mergeCell ref="E179:G179"/>
    <mergeCell ref="E178:G178"/>
    <mergeCell ref="E177:G177"/>
    <mergeCell ref="E176:G176"/>
    <mergeCell ref="E175:G175"/>
    <mergeCell ref="C184:I184"/>
    <mergeCell ref="E193:G193"/>
    <mergeCell ref="E192:G192"/>
    <mergeCell ref="E191:G191"/>
    <mergeCell ref="E190:G190"/>
    <mergeCell ref="E189:G189"/>
    <mergeCell ref="E188:G188"/>
    <mergeCell ref="E202:G202"/>
    <mergeCell ref="E201:G201"/>
    <mergeCell ref="E200:G200"/>
    <mergeCell ref="E199:G199"/>
    <mergeCell ref="E198:G198"/>
    <mergeCell ref="E197:G197"/>
    <mergeCell ref="E196:G196"/>
    <mergeCell ref="E195:G195"/>
    <mergeCell ref="E187:G187"/>
    <mergeCell ref="E186:G186"/>
    <mergeCell ref="E185:G185"/>
    <mergeCell ref="C194:I194"/>
  </mergeCells>
  <printOptions horizontalCentered="1"/>
  <pageMargins left="0.2362204724409449" right="0.15748031496062992" top="0.1968503937007874" bottom="0.15748031496062992" header="0.1968503937007874" footer="0.11811023622047245"/>
  <pageSetup fitToHeight="0" fitToWidth="1" horizontalDpi="600" verticalDpi="600" orientation="landscape" paperSize="9" scale="75" r:id="rId3"/>
  <legacyDrawing r:id="rId2"/>
</worksheet>
</file>

<file path=xl/worksheets/sheet12.xml><?xml version="1.0" encoding="utf-8"?>
<worksheet xmlns="http://schemas.openxmlformats.org/spreadsheetml/2006/main" xmlns:r="http://schemas.openxmlformats.org/officeDocument/2006/relationships">
  <sheetPr>
    <tabColor theme="7" tint="0.5999900102615356"/>
    <pageSetUpPr fitToPage="1"/>
  </sheetPr>
  <dimension ref="A1:L398"/>
  <sheetViews>
    <sheetView view="pageBreakPreview" zoomScale="90" zoomScaleSheetLayoutView="90" zoomScalePageLayoutView="0" workbookViewId="0" topLeftCell="B34">
      <selection activeCell="E56" sqref="E56"/>
    </sheetView>
  </sheetViews>
  <sheetFormatPr defaultColWidth="9.00390625" defaultRowHeight="12.75"/>
  <cols>
    <col min="1" max="1" width="6.375" style="0" hidden="1" customWidth="1"/>
    <col min="2" max="2" width="7.625" style="0" customWidth="1"/>
    <col min="3" max="3" width="84.50390625" style="0" customWidth="1"/>
    <col min="4" max="4" width="8.375" style="209" customWidth="1"/>
    <col min="5" max="6" width="8.50390625" style="0" customWidth="1"/>
    <col min="7" max="7" width="11.375" style="0" customWidth="1"/>
    <col min="8" max="8" width="32.50390625" style="209" customWidth="1"/>
    <col min="9" max="9" width="32.375" style="209" customWidth="1"/>
    <col min="10" max="10" width="10.50390625" style="0" customWidth="1"/>
  </cols>
  <sheetData>
    <row r="1" spans="1:9" s="60" customFormat="1" ht="21" thickBot="1">
      <c r="A1" s="432" t="s">
        <v>217</v>
      </c>
      <c r="B1" s="432"/>
      <c r="C1" s="432"/>
      <c r="D1" s="432"/>
      <c r="E1" s="432"/>
      <c r="F1" s="432"/>
      <c r="G1" s="432"/>
      <c r="H1" s="432"/>
      <c r="I1" s="432"/>
    </row>
    <row r="2" spans="1:9" s="60" customFormat="1" ht="9.75" customHeight="1" thickTop="1">
      <c r="A2" s="70"/>
      <c r="D2" s="205"/>
      <c r="H2" s="205"/>
      <c r="I2" s="205"/>
    </row>
    <row r="3" spans="1:9" s="60" customFormat="1" ht="15">
      <c r="A3" s="433" t="s">
        <v>160</v>
      </c>
      <c r="B3" s="433"/>
      <c r="C3" s="433"/>
      <c r="D3" s="433"/>
      <c r="E3" s="433"/>
      <c r="F3" s="433"/>
      <c r="G3" s="433"/>
      <c r="H3" s="433"/>
      <c r="I3" s="433"/>
    </row>
    <row r="4" spans="1:9" s="60" customFormat="1" ht="12" customHeight="1">
      <c r="A4" s="434" t="s">
        <v>206</v>
      </c>
      <c r="B4" s="434"/>
      <c r="C4" s="434"/>
      <c r="D4" s="434"/>
      <c r="E4" s="434"/>
      <c r="F4" s="434"/>
      <c r="G4" s="434"/>
      <c r="H4" s="434"/>
      <c r="I4" s="434"/>
    </row>
    <row r="5" spans="1:10" s="60" customFormat="1" ht="12" customHeight="1">
      <c r="A5" s="112"/>
      <c r="B5" s="433" t="s">
        <v>205</v>
      </c>
      <c r="C5" s="433"/>
      <c r="D5" s="433"/>
      <c r="E5" s="433"/>
      <c r="F5" s="433"/>
      <c r="G5" s="433"/>
      <c r="H5" s="433"/>
      <c r="I5" s="433"/>
      <c r="J5" s="433"/>
    </row>
    <row r="6" spans="1:10" s="60" customFormat="1" ht="12" customHeight="1">
      <c r="A6" s="112"/>
      <c r="B6" s="434" t="s">
        <v>207</v>
      </c>
      <c r="C6" s="434"/>
      <c r="D6" s="434"/>
      <c r="E6" s="434"/>
      <c r="F6" s="434"/>
      <c r="G6" s="434"/>
      <c r="H6" s="434"/>
      <c r="I6" s="434"/>
      <c r="J6" s="434"/>
    </row>
    <row r="7" spans="1:9" s="60" customFormat="1" ht="12" customHeight="1">
      <c r="A7" s="112"/>
      <c r="B7" s="119"/>
      <c r="C7" s="116"/>
      <c r="D7" s="206"/>
      <c r="E7" s="116"/>
      <c r="F7" s="116"/>
      <c r="G7" s="116"/>
      <c r="H7" s="206"/>
      <c r="I7" s="206"/>
    </row>
    <row r="8" spans="1:9" s="60" customFormat="1" ht="12" customHeight="1">
      <c r="A8" s="112"/>
      <c r="B8" s="115" t="s">
        <v>247</v>
      </c>
      <c r="C8" s="116"/>
      <c r="D8" s="206"/>
      <c r="E8" s="116"/>
      <c r="F8" s="116"/>
      <c r="G8" s="116"/>
      <c r="H8" s="206"/>
      <c r="I8" s="206"/>
    </row>
    <row r="9" spans="1:9" s="60" customFormat="1" ht="12" customHeight="1">
      <c r="A9" s="112"/>
      <c r="B9" s="117"/>
      <c r="C9" s="118" t="s">
        <v>201</v>
      </c>
      <c r="D9" s="206"/>
      <c r="E9" s="120" t="s">
        <v>202</v>
      </c>
      <c r="F9" s="116"/>
      <c r="H9" s="206"/>
      <c r="I9" s="206"/>
    </row>
    <row r="10" spans="1:9" s="60" customFormat="1" ht="12" customHeight="1">
      <c r="A10" s="112"/>
      <c r="B10" s="121"/>
      <c r="C10" s="121"/>
      <c r="D10" s="207"/>
      <c r="E10" s="121"/>
      <c r="F10" s="121"/>
      <c r="G10" s="121"/>
      <c r="H10" s="207"/>
      <c r="I10" s="207"/>
    </row>
    <row r="11" spans="1:9" s="60" customFormat="1" ht="12" customHeight="1">
      <c r="A11" s="112"/>
      <c r="B11" s="115" t="s">
        <v>203</v>
      </c>
      <c r="C11" s="115"/>
      <c r="D11" s="208"/>
      <c r="E11" s="115"/>
      <c r="F11" s="115"/>
      <c r="G11" s="115"/>
      <c r="H11" s="208"/>
      <c r="I11" s="208"/>
    </row>
    <row r="12" spans="1:9" s="60" customFormat="1" ht="12" customHeight="1">
      <c r="A12" s="112"/>
      <c r="B12" s="400" t="s">
        <v>204</v>
      </c>
      <c r="C12" s="400"/>
      <c r="D12" s="400"/>
      <c r="E12" s="400"/>
      <c r="F12" s="400"/>
      <c r="G12" s="400"/>
      <c r="H12" s="400"/>
      <c r="I12" s="400"/>
    </row>
    <row r="13" spans="4:9" s="60" customFormat="1" ht="12.75">
      <c r="D13" s="205"/>
      <c r="H13" s="205"/>
      <c r="I13" s="256" t="s">
        <v>4</v>
      </c>
    </row>
    <row r="14" spans="1:9" s="60" customFormat="1" ht="12.75">
      <c r="A14" s="417" t="s">
        <v>23</v>
      </c>
      <c r="B14" s="417"/>
      <c r="C14" s="417" t="s">
        <v>1</v>
      </c>
      <c r="D14" s="417" t="s">
        <v>175</v>
      </c>
      <c r="E14" s="417" t="s">
        <v>176</v>
      </c>
      <c r="F14" s="417" t="s">
        <v>177</v>
      </c>
      <c r="G14" s="417"/>
      <c r="H14" s="417" t="s">
        <v>208</v>
      </c>
      <c r="I14" s="417"/>
    </row>
    <row r="15" spans="1:9" s="60" customFormat="1" ht="27" customHeight="1">
      <c r="A15" s="417"/>
      <c r="B15" s="417"/>
      <c r="C15" s="417"/>
      <c r="D15" s="417"/>
      <c r="E15" s="417"/>
      <c r="F15" s="111" t="s">
        <v>24</v>
      </c>
      <c r="G15" s="111" t="s">
        <v>36</v>
      </c>
      <c r="H15" s="417"/>
      <c r="I15" s="417"/>
    </row>
    <row r="16" spans="1:9" s="60" customFormat="1" ht="13.5" thickBot="1">
      <c r="A16" s="415">
        <v>1</v>
      </c>
      <c r="B16" s="415"/>
      <c r="C16" s="113">
        <v>2</v>
      </c>
      <c r="D16" s="176">
        <v>3</v>
      </c>
      <c r="E16" s="113">
        <v>4</v>
      </c>
      <c r="F16" s="113">
        <v>5</v>
      </c>
      <c r="G16" s="113">
        <v>6</v>
      </c>
      <c r="H16" s="416">
        <v>7</v>
      </c>
      <c r="I16" s="416"/>
    </row>
    <row r="17" spans="2:9" s="165" customFormat="1" ht="13.5" thickTop="1">
      <c r="B17" s="169">
        <f>'2019-3 СВОД'!B929</f>
        <v>1115030</v>
      </c>
      <c r="C17" s="169" t="str">
        <f>'2019-3 СВОД'!C929</f>
        <v>Програма Розвиток дитячо-юнацького та резервного спорту</v>
      </c>
      <c r="D17" s="166">
        <f>D18+D75+D132</f>
        <v>55749.85999999999</v>
      </c>
      <c r="E17" s="166">
        <f>E18+E75+E132</f>
        <v>69320.34700000001</v>
      </c>
      <c r="F17" s="166">
        <f>F18+F75+F132</f>
        <v>73430.1</v>
      </c>
      <c r="G17" s="166">
        <f>G18+G75+G132</f>
        <v>4541.9</v>
      </c>
      <c r="H17" s="451"/>
      <c r="I17" s="451"/>
    </row>
    <row r="18" spans="2:9" s="156" customFormat="1" ht="26.25">
      <c r="B18" s="154">
        <f>'2019-3 СВОД'!B930</f>
        <v>1115031</v>
      </c>
      <c r="C18" s="154" t="str">
        <f>'2019-3 СВОД'!C930</f>
        <v>Підпрограма Утримання та навчально-тренувальна робота комунальних дитячо-юнацьких спортивних шкіл</v>
      </c>
      <c r="D18" s="124">
        <f>D19+D54</f>
        <v>26760.199999999997</v>
      </c>
      <c r="E18" s="124">
        <f>E19+E54</f>
        <v>34405.147000000004</v>
      </c>
      <c r="F18" s="124">
        <f>F19+F54</f>
        <v>37046.1</v>
      </c>
      <c r="G18" s="124">
        <f>G19+G54</f>
        <v>2544.5</v>
      </c>
      <c r="H18" s="464"/>
      <c r="I18" s="465"/>
    </row>
    <row r="19" spans="1:9" ht="12.75">
      <c r="A19" s="6"/>
      <c r="B19" s="27">
        <v>2000</v>
      </c>
      <c r="C19" s="28" t="s">
        <v>37</v>
      </c>
      <c r="D19" s="33">
        <f>D20+D25+D42+D45+D49+D53</f>
        <v>24444.159999999996</v>
      </c>
      <c r="E19" s="33">
        <f>E20+E25+E42+E45+E49+E53</f>
        <v>32740.147000000004</v>
      </c>
      <c r="F19" s="33">
        <f>F20+F25+F42+F45+F49+F53</f>
        <v>37046.1</v>
      </c>
      <c r="G19" s="33">
        <f>G20+G25+G42+G45+G49+G53</f>
        <v>1466.3000000000002</v>
      </c>
      <c r="H19" s="427"/>
      <c r="I19" s="427"/>
    </row>
    <row r="20" spans="1:9" ht="12.75" customHeight="1">
      <c r="A20" s="6"/>
      <c r="B20" s="29">
        <v>2100</v>
      </c>
      <c r="C20" s="30" t="s">
        <v>38</v>
      </c>
      <c r="D20" s="35">
        <f>D21+D24</f>
        <v>20775.989999999998</v>
      </c>
      <c r="E20" s="35">
        <f>E21+E24</f>
        <v>25100.013000000003</v>
      </c>
      <c r="F20" s="35">
        <f>F21+F24</f>
        <v>28620</v>
      </c>
      <c r="G20" s="35">
        <f>G21+G24</f>
        <v>533.6</v>
      </c>
      <c r="H20" s="403" t="s">
        <v>597</v>
      </c>
      <c r="I20" s="404"/>
    </row>
    <row r="21" spans="1:9" ht="12.75" customHeight="1">
      <c r="A21" s="6"/>
      <c r="B21" s="29">
        <v>2110</v>
      </c>
      <c r="C21" s="30" t="s">
        <v>39</v>
      </c>
      <c r="D21" s="35">
        <f>D22+D23</f>
        <v>17012.8</v>
      </c>
      <c r="E21" s="35">
        <f>E22+E23</f>
        <v>20548.9</v>
      </c>
      <c r="F21" s="35">
        <f>F22+F23</f>
        <v>23459</v>
      </c>
      <c r="G21" s="35">
        <f>G22+G23</f>
        <v>437.4</v>
      </c>
      <c r="H21" s="405"/>
      <c r="I21" s="406"/>
    </row>
    <row r="22" spans="1:9" ht="12.75" customHeight="1">
      <c r="A22" s="6"/>
      <c r="B22" s="29">
        <v>2111</v>
      </c>
      <c r="C22" s="30" t="s">
        <v>42</v>
      </c>
      <c r="D22" s="34">
        <f>'2019-3 СВОД'!D934</f>
        <v>17012.8</v>
      </c>
      <c r="E22" s="34">
        <f>'2019-3 СВОД'!E934</f>
        <v>20548.9</v>
      </c>
      <c r="F22" s="34">
        <f>'2019-3 СВОД'!F934</f>
        <v>23459</v>
      </c>
      <c r="G22" s="34">
        <f>'2019-3 СВОД'!G934</f>
        <v>437.4</v>
      </c>
      <c r="H22" s="405"/>
      <c r="I22" s="406"/>
    </row>
    <row r="23" spans="1:9" ht="12.75" customHeight="1" hidden="1">
      <c r="A23" s="6"/>
      <c r="B23" s="29">
        <v>2112</v>
      </c>
      <c r="C23" s="30" t="s">
        <v>43</v>
      </c>
      <c r="D23" s="34">
        <f>'2019-3 СВОД'!D935</f>
        <v>0</v>
      </c>
      <c r="E23" s="34">
        <f>'2019-3 СВОД'!E935</f>
        <v>0</v>
      </c>
      <c r="F23" s="34">
        <f>'2019-3 СВОД'!F935</f>
        <v>0</v>
      </c>
      <c r="G23" s="34">
        <f>'2019-3 СВОД'!G935</f>
        <v>0</v>
      </c>
      <c r="H23" s="405"/>
      <c r="I23" s="406"/>
    </row>
    <row r="24" spans="1:9" ht="12.75" customHeight="1">
      <c r="A24" s="6"/>
      <c r="B24" s="29">
        <v>2120</v>
      </c>
      <c r="C24" s="30" t="s">
        <v>44</v>
      </c>
      <c r="D24" s="34">
        <f>'2019-3 СВОД'!D936</f>
        <v>3763.19</v>
      </c>
      <c r="E24" s="34">
        <f>'2019-3 СВОД'!E936</f>
        <v>4551.113</v>
      </c>
      <c r="F24" s="34">
        <f>'2019-3 СВОД'!F936</f>
        <v>5161</v>
      </c>
      <c r="G24" s="34">
        <f>'2019-3 СВОД'!G936</f>
        <v>96.2</v>
      </c>
      <c r="H24" s="407"/>
      <c r="I24" s="408"/>
    </row>
    <row r="25" spans="1:9" ht="12.75" customHeight="1">
      <c r="A25" s="6"/>
      <c r="B25" s="27">
        <v>2200</v>
      </c>
      <c r="C25" s="28" t="s">
        <v>45</v>
      </c>
      <c r="D25" s="33">
        <f>SUM(D26:D32)+D39</f>
        <v>3655.44</v>
      </c>
      <c r="E25" s="33">
        <f>SUM(E26:E32)+E39</f>
        <v>7623.934</v>
      </c>
      <c r="F25" s="33">
        <f>SUM(F26:F32)+F39</f>
        <v>8422.5</v>
      </c>
      <c r="G25" s="33">
        <f>SUM(G26:G32)+G39</f>
        <v>932.7</v>
      </c>
      <c r="H25" s="427"/>
      <c r="I25" s="427"/>
    </row>
    <row r="26" spans="1:10" ht="30.75" customHeight="1">
      <c r="A26" s="6"/>
      <c r="B26" s="29">
        <v>2210</v>
      </c>
      <c r="C26" s="30" t="s">
        <v>46</v>
      </c>
      <c r="D26" s="34">
        <f>'2019-3 СВОД'!D938</f>
        <v>1192.62</v>
      </c>
      <c r="E26" s="34">
        <f>'2019-3 СВОД'!E938</f>
        <v>2567.5</v>
      </c>
      <c r="F26" s="34">
        <f>'2019-3 СВОД'!F938</f>
        <v>2742.3</v>
      </c>
      <c r="G26" s="34">
        <f>'2019-3 СВОД'!G938</f>
        <v>462.5</v>
      </c>
      <c r="H26" s="402" t="s">
        <v>599</v>
      </c>
      <c r="I26" s="402"/>
      <c r="J26">
        <v>285</v>
      </c>
    </row>
    <row r="27" spans="1:10" ht="12.75" customHeight="1">
      <c r="A27" s="6"/>
      <c r="B27" s="29">
        <v>2220</v>
      </c>
      <c r="C27" s="30" t="s">
        <v>47</v>
      </c>
      <c r="D27" s="34">
        <f>'2019-3 СВОД'!D939</f>
        <v>37.1</v>
      </c>
      <c r="E27" s="34">
        <f>'2019-3 СВОД'!E939</f>
        <v>30</v>
      </c>
      <c r="F27" s="34">
        <f>'2019-3 СВОД'!F939</f>
        <v>29.4</v>
      </c>
      <c r="G27" s="34">
        <f>'2019-3 СВОД'!G939</f>
        <v>0</v>
      </c>
      <c r="H27" s="427"/>
      <c r="I27" s="427"/>
      <c r="J27">
        <v>177.5</v>
      </c>
    </row>
    <row r="28" spans="1:9" ht="12.75" customHeight="1" hidden="1">
      <c r="A28" s="6"/>
      <c r="B28" s="29">
        <v>2230</v>
      </c>
      <c r="C28" s="30" t="s">
        <v>48</v>
      </c>
      <c r="D28" s="34">
        <f>'2019-3 СВОД'!D940</f>
        <v>0</v>
      </c>
      <c r="E28" s="34">
        <f>'2019-3 СВОД'!E940</f>
        <v>0</v>
      </c>
      <c r="F28" s="34">
        <f>'2019-3 СВОД'!F940</f>
        <v>0</v>
      </c>
      <c r="G28" s="34">
        <f>'2019-3 СВОД'!G940</f>
        <v>0</v>
      </c>
      <c r="H28" s="427"/>
      <c r="I28" s="427"/>
    </row>
    <row r="29" spans="1:9" ht="27" customHeight="1">
      <c r="A29" s="6"/>
      <c r="B29" s="29">
        <v>2240</v>
      </c>
      <c r="C29" s="30" t="s">
        <v>49</v>
      </c>
      <c r="D29" s="34">
        <f>'2019-3 СВОД'!D941</f>
        <v>1525.68</v>
      </c>
      <c r="E29" s="34">
        <f>'2019-3 СВОД'!E941</f>
        <v>2831</v>
      </c>
      <c r="F29" s="34">
        <f>'2019-3 СВОД'!F941</f>
        <v>3090.6999999999994</v>
      </c>
      <c r="G29" s="34">
        <f>'2019-3 СВОД'!G941</f>
        <v>270.2</v>
      </c>
      <c r="H29" s="403" t="s">
        <v>596</v>
      </c>
      <c r="I29" s="404"/>
    </row>
    <row r="30" spans="1:9" ht="27" customHeight="1">
      <c r="A30" s="6"/>
      <c r="B30" s="29">
        <v>2250</v>
      </c>
      <c r="C30" s="30" t="s">
        <v>50</v>
      </c>
      <c r="D30" s="34">
        <f>'2019-3 СВОД'!D942</f>
        <v>804.4</v>
      </c>
      <c r="E30" s="34">
        <f>'2019-3 СВОД'!E942</f>
        <v>1764.134</v>
      </c>
      <c r="F30" s="34">
        <f>'2019-3 СВОД'!F942</f>
        <v>2118.9999999999995</v>
      </c>
      <c r="G30" s="34">
        <f>'2019-3 СВОД'!G942</f>
        <v>200</v>
      </c>
      <c r="H30" s="407"/>
      <c r="I30" s="408"/>
    </row>
    <row r="31" spans="1:9" ht="12.75" customHeight="1" hidden="1">
      <c r="A31" s="6"/>
      <c r="B31" s="29">
        <v>2260</v>
      </c>
      <c r="C31" s="30" t="s">
        <v>51</v>
      </c>
      <c r="D31" s="34">
        <f>'2019-3 СВОД'!D943</f>
        <v>0</v>
      </c>
      <c r="E31" s="34">
        <f>'2019-3 СВОД'!E943</f>
        <v>0</v>
      </c>
      <c r="F31" s="34">
        <f>'2019-3 СВОД'!F943</f>
        <v>0</v>
      </c>
      <c r="G31" s="34">
        <f>'2019-3 СВОД'!G943</f>
        <v>0</v>
      </c>
      <c r="H31" s="427"/>
      <c r="I31" s="427"/>
    </row>
    <row r="32" spans="1:9" ht="12.75" customHeight="1">
      <c r="A32" s="6"/>
      <c r="B32" s="27">
        <v>2270</v>
      </c>
      <c r="C32" s="28" t="s">
        <v>52</v>
      </c>
      <c r="D32" s="33">
        <f>D33+D34+D35+D36+D37+D38</f>
        <v>88.30000000000001</v>
      </c>
      <c r="E32" s="33">
        <f>E33+E34+E35+E36+E37+E38</f>
        <v>389.69999999999993</v>
      </c>
      <c r="F32" s="33">
        <f>F33+F34+F35+F36+F37+F38</f>
        <v>420.1</v>
      </c>
      <c r="G32" s="33">
        <f>G33+G34+G35+G36+G37+G38</f>
        <v>0</v>
      </c>
      <c r="H32" s="427"/>
      <c r="I32" s="427"/>
    </row>
    <row r="33" spans="1:9" ht="12.75" customHeight="1">
      <c r="A33" s="6"/>
      <c r="B33" s="29">
        <v>2271</v>
      </c>
      <c r="C33" s="30" t="s">
        <v>53</v>
      </c>
      <c r="D33" s="34">
        <f>'2019-3 СВОД'!D945</f>
        <v>27.56</v>
      </c>
      <c r="E33" s="34">
        <f>'2019-3 СВОД'!E945</f>
        <v>135.1</v>
      </c>
      <c r="F33" s="34">
        <f>'2019-3 СВОД'!F945</f>
        <v>163.20000000000002</v>
      </c>
      <c r="G33" s="34">
        <f>'2019-3 СВОД'!G945</f>
        <v>0</v>
      </c>
      <c r="H33" s="427"/>
      <c r="I33" s="427"/>
    </row>
    <row r="34" spans="1:9" ht="12.75" customHeight="1">
      <c r="A34" s="6"/>
      <c r="B34" s="29">
        <v>2272</v>
      </c>
      <c r="C34" s="30" t="s">
        <v>54</v>
      </c>
      <c r="D34" s="34">
        <f>'2019-3 СВОД'!D946</f>
        <v>5</v>
      </c>
      <c r="E34" s="34">
        <f>'2019-3 СВОД'!E946</f>
        <v>33.6</v>
      </c>
      <c r="F34" s="34">
        <f>'2019-3 СВОД'!F946</f>
        <v>64.3</v>
      </c>
      <c r="G34" s="34">
        <f>'2019-3 СВОД'!G946</f>
        <v>0</v>
      </c>
      <c r="H34" s="427"/>
      <c r="I34" s="427"/>
    </row>
    <row r="35" spans="1:9" ht="12.75" customHeight="1">
      <c r="A35" s="6"/>
      <c r="B35" s="29">
        <v>2273</v>
      </c>
      <c r="C35" s="30" t="s">
        <v>55</v>
      </c>
      <c r="D35" s="34">
        <f>'2019-3 СВОД'!D947</f>
        <v>20.1</v>
      </c>
      <c r="E35" s="34">
        <f>'2019-3 СВОД'!E947</f>
        <v>165.1</v>
      </c>
      <c r="F35" s="34">
        <f>'2019-3 СВОД'!F947</f>
        <v>132.6</v>
      </c>
      <c r="G35" s="34">
        <f>'2019-3 СВОД'!G947</f>
        <v>0</v>
      </c>
      <c r="H35" s="427"/>
      <c r="I35" s="427"/>
    </row>
    <row r="36" spans="1:9" ht="12.75" customHeight="1" hidden="1">
      <c r="A36" s="6"/>
      <c r="B36" s="29">
        <v>2274</v>
      </c>
      <c r="C36" s="30" t="s">
        <v>56</v>
      </c>
      <c r="D36" s="34">
        <f>'2019-3 СВОД'!D948</f>
        <v>0</v>
      </c>
      <c r="E36" s="34">
        <f>'2019-3 СВОД'!E948</f>
        <v>0</v>
      </c>
      <c r="F36" s="34">
        <f>'2019-3 СВОД'!F948</f>
        <v>0</v>
      </c>
      <c r="G36" s="34">
        <f>'2019-3 СВОД'!G948</f>
        <v>0</v>
      </c>
      <c r="H36" s="427"/>
      <c r="I36" s="427"/>
    </row>
    <row r="37" spans="1:9" ht="12.75" customHeight="1">
      <c r="A37" s="6"/>
      <c r="B37" s="29">
        <v>2275</v>
      </c>
      <c r="C37" s="30" t="s">
        <v>57</v>
      </c>
      <c r="D37" s="34">
        <f>'2019-3 СВОД'!D949</f>
        <v>35.64</v>
      </c>
      <c r="E37" s="34">
        <f>'2019-3 СВОД'!E949</f>
        <v>55.9</v>
      </c>
      <c r="F37" s="34">
        <f>'2019-3 СВОД'!F949</f>
        <v>60</v>
      </c>
      <c r="G37" s="34">
        <f>'2019-3 СВОД'!G949</f>
        <v>0</v>
      </c>
      <c r="H37" s="427"/>
      <c r="I37" s="427"/>
    </row>
    <row r="38" spans="1:9" ht="12.75" customHeight="1" hidden="1">
      <c r="A38" s="6"/>
      <c r="B38" s="31">
        <v>2276</v>
      </c>
      <c r="C38" s="32" t="s">
        <v>58</v>
      </c>
      <c r="D38" s="34">
        <f>'2019-3 СВОД'!D950</f>
        <v>0</v>
      </c>
      <c r="E38" s="34">
        <f>'2019-3 СВОД'!E950</f>
        <v>0</v>
      </c>
      <c r="F38" s="34">
        <f>'2019-3 СВОД'!F950</f>
        <v>0</v>
      </c>
      <c r="G38" s="34">
        <f>'2019-3 СВОД'!G950</f>
        <v>0</v>
      </c>
      <c r="H38" s="427"/>
      <c r="I38" s="427"/>
    </row>
    <row r="39" spans="1:9" ht="12.75">
      <c r="A39" s="6"/>
      <c r="B39" s="27">
        <v>2280</v>
      </c>
      <c r="C39" s="28" t="s">
        <v>59</v>
      </c>
      <c r="D39" s="33">
        <f>D40+D41</f>
        <v>7.34</v>
      </c>
      <c r="E39" s="33">
        <f>E40+E41</f>
        <v>41.6</v>
      </c>
      <c r="F39" s="33">
        <f>F40+F41</f>
        <v>21</v>
      </c>
      <c r="G39" s="33">
        <f>G40+G41</f>
        <v>0</v>
      </c>
      <c r="H39" s="427"/>
      <c r="I39" s="427"/>
    </row>
    <row r="40" spans="1:9" ht="12.75" hidden="1">
      <c r="A40" s="6"/>
      <c r="B40" s="29">
        <v>2281</v>
      </c>
      <c r="C40" s="30" t="s">
        <v>60</v>
      </c>
      <c r="D40" s="34">
        <f>'2019-3 СВОД'!D952</f>
        <v>0</v>
      </c>
      <c r="E40" s="34">
        <f>'2019-3 СВОД'!E952</f>
        <v>0</v>
      </c>
      <c r="F40" s="34">
        <f>'2019-3 СВОД'!F952</f>
        <v>0</v>
      </c>
      <c r="G40" s="34">
        <f>'2019-3 СВОД'!G952</f>
        <v>0</v>
      </c>
      <c r="H40" s="427"/>
      <c r="I40" s="427"/>
    </row>
    <row r="41" spans="1:9" ht="12.75">
      <c r="A41" s="6"/>
      <c r="B41" s="29">
        <v>2282</v>
      </c>
      <c r="C41" s="30" t="s">
        <v>61</v>
      </c>
      <c r="D41" s="34">
        <f>'2019-3 СВОД'!D953</f>
        <v>7.34</v>
      </c>
      <c r="E41" s="34">
        <f>'2019-3 СВОД'!E953</f>
        <v>41.6</v>
      </c>
      <c r="F41" s="34">
        <f>'2019-3 СВОД'!F953</f>
        <v>21</v>
      </c>
      <c r="G41" s="34">
        <f>'2019-3 СВОД'!G953</f>
        <v>0</v>
      </c>
      <c r="H41" s="427"/>
      <c r="I41" s="427"/>
    </row>
    <row r="42" spans="1:9" ht="12.75" customHeight="1" hidden="1">
      <c r="A42" s="6"/>
      <c r="B42" s="27">
        <v>2400</v>
      </c>
      <c r="C42" s="28" t="s">
        <v>62</v>
      </c>
      <c r="D42" s="34">
        <f>D43+D44</f>
        <v>0</v>
      </c>
      <c r="E42" s="34">
        <f>E43+E44</f>
        <v>0</v>
      </c>
      <c r="F42" s="34">
        <f>F43+F44</f>
        <v>0</v>
      </c>
      <c r="G42" s="34">
        <f>G43+G44</f>
        <v>0</v>
      </c>
      <c r="H42" s="427"/>
      <c r="I42" s="427"/>
    </row>
    <row r="43" spans="1:9" ht="12.75" customHeight="1" hidden="1">
      <c r="A43" s="6"/>
      <c r="B43" s="29">
        <v>2410</v>
      </c>
      <c r="C43" s="30" t="s">
        <v>63</v>
      </c>
      <c r="D43" s="34">
        <f>'2019-3 СВОД'!D955</f>
        <v>0</v>
      </c>
      <c r="E43" s="34">
        <f>'2019-3 СВОД'!E955</f>
        <v>0</v>
      </c>
      <c r="F43" s="34">
        <f>'2019-3 СВОД'!F955</f>
        <v>0</v>
      </c>
      <c r="G43" s="34">
        <f>'2019-3 СВОД'!G955</f>
        <v>0</v>
      </c>
      <c r="H43" s="427"/>
      <c r="I43" s="427"/>
    </row>
    <row r="44" spans="1:9" ht="12.75" customHeight="1" hidden="1">
      <c r="A44" s="6"/>
      <c r="B44" s="29">
        <v>2420</v>
      </c>
      <c r="C44" s="30" t="s">
        <v>64</v>
      </c>
      <c r="D44" s="34">
        <f>'2019-3 СВОД'!D956</f>
        <v>0</v>
      </c>
      <c r="E44" s="34">
        <f>'2019-3 СВОД'!E956</f>
        <v>0</v>
      </c>
      <c r="F44" s="34">
        <f>'2019-3 СВОД'!F956</f>
        <v>0</v>
      </c>
      <c r="G44" s="34">
        <f>'2019-3 СВОД'!G956</f>
        <v>0</v>
      </c>
      <c r="H44" s="427"/>
      <c r="I44" s="427"/>
    </row>
    <row r="45" spans="1:9" ht="12.75" customHeight="1" hidden="1">
      <c r="A45" s="6"/>
      <c r="B45" s="27">
        <v>2600</v>
      </c>
      <c r="C45" s="28" t="s">
        <v>65</v>
      </c>
      <c r="D45" s="33">
        <f>D46+D47+D48</f>
        <v>0</v>
      </c>
      <c r="E45" s="33">
        <f>E46+E47+E48</f>
        <v>0</v>
      </c>
      <c r="F45" s="33">
        <f>F46+F47+F48</f>
        <v>0</v>
      </c>
      <c r="G45" s="33">
        <f>G46+G47+G48</f>
        <v>0</v>
      </c>
      <c r="H45" s="427"/>
      <c r="I45" s="427"/>
    </row>
    <row r="46" spans="1:9" ht="12.75" hidden="1">
      <c r="A46" s="6"/>
      <c r="B46" s="29">
        <v>2610</v>
      </c>
      <c r="C46" s="30" t="s">
        <v>66</v>
      </c>
      <c r="D46" s="34">
        <f>'2019-3 СВОД'!D958</f>
        <v>0</v>
      </c>
      <c r="E46" s="34">
        <f>'2019-3 СВОД'!E958</f>
        <v>0</v>
      </c>
      <c r="F46" s="34">
        <f>'2019-3 СВОД'!F958</f>
        <v>0</v>
      </c>
      <c r="G46" s="34">
        <f>'2019-3 СВОД'!G958</f>
        <v>0</v>
      </c>
      <c r="H46" s="427"/>
      <c r="I46" s="427"/>
    </row>
    <row r="47" spans="1:9" ht="12.75" customHeight="1" hidden="1">
      <c r="A47" s="6"/>
      <c r="B47" s="29">
        <v>2620</v>
      </c>
      <c r="C47" s="30" t="s">
        <v>67</v>
      </c>
      <c r="D47" s="34">
        <f>'2019-3 СВОД'!D959</f>
        <v>0</v>
      </c>
      <c r="E47" s="34">
        <f>'2019-3 СВОД'!E959</f>
        <v>0</v>
      </c>
      <c r="F47" s="34">
        <f>'2019-3 СВОД'!F959</f>
        <v>0</v>
      </c>
      <c r="G47" s="34">
        <f>'2019-3 СВОД'!G959</f>
        <v>0</v>
      </c>
      <c r="H47" s="427"/>
      <c r="I47" s="427"/>
    </row>
    <row r="48" spans="1:9" ht="12.75" hidden="1">
      <c r="A48" s="6"/>
      <c r="B48" s="29">
        <v>2630</v>
      </c>
      <c r="C48" s="30" t="s">
        <v>68</v>
      </c>
      <c r="D48" s="34">
        <f>'2019-3 СВОД'!D960</f>
        <v>0</v>
      </c>
      <c r="E48" s="34">
        <f>'2019-3 СВОД'!E960</f>
        <v>0</v>
      </c>
      <c r="F48" s="34">
        <f>'2019-3 СВОД'!F960</f>
        <v>0</v>
      </c>
      <c r="G48" s="34">
        <f>'2019-3 СВОД'!G960</f>
        <v>0</v>
      </c>
      <c r="H48" s="427"/>
      <c r="I48" s="427"/>
    </row>
    <row r="49" spans="1:9" ht="12.75" customHeight="1" hidden="1">
      <c r="A49" s="6"/>
      <c r="B49" s="27">
        <v>2700</v>
      </c>
      <c r="C49" s="28" t="s">
        <v>69</v>
      </c>
      <c r="D49" s="33">
        <f>D50+D51+D52</f>
        <v>0</v>
      </c>
      <c r="E49" s="33">
        <f>E50+E51+E52</f>
        <v>0</v>
      </c>
      <c r="F49" s="33">
        <f>F50+F51+F52</f>
        <v>0</v>
      </c>
      <c r="G49" s="33">
        <f>G50+G51+G52</f>
        <v>0</v>
      </c>
      <c r="H49" s="427"/>
      <c r="I49" s="427"/>
    </row>
    <row r="50" spans="1:9" ht="12.75" customHeight="1" hidden="1">
      <c r="A50" s="6"/>
      <c r="B50" s="29">
        <v>2710</v>
      </c>
      <c r="C50" s="30" t="s">
        <v>70</v>
      </c>
      <c r="D50" s="34">
        <f>'2019-3 СВОД'!D962</f>
        <v>0</v>
      </c>
      <c r="E50" s="34">
        <f>'2019-3 СВОД'!E962</f>
        <v>0</v>
      </c>
      <c r="F50" s="34">
        <f>'2019-3 СВОД'!F962</f>
        <v>0</v>
      </c>
      <c r="G50" s="34">
        <f>'2019-3 СВОД'!G962</f>
        <v>0</v>
      </c>
      <c r="H50" s="427"/>
      <c r="I50" s="427"/>
    </row>
    <row r="51" spans="1:9" ht="12.75" customHeight="1" hidden="1">
      <c r="A51" s="6"/>
      <c r="B51" s="29">
        <v>2720</v>
      </c>
      <c r="C51" s="30" t="s">
        <v>71</v>
      </c>
      <c r="D51" s="34">
        <f>'2019-3 СВОД'!D963</f>
        <v>0</v>
      </c>
      <c r="E51" s="34">
        <f>'2019-3 СВОД'!E963</f>
        <v>0</v>
      </c>
      <c r="F51" s="34">
        <f>'2019-3 СВОД'!F963</f>
        <v>0</v>
      </c>
      <c r="G51" s="34">
        <f>'2019-3 СВОД'!G963</f>
        <v>0</v>
      </c>
      <c r="H51" s="427"/>
      <c r="I51" s="427"/>
    </row>
    <row r="52" spans="1:9" ht="12.75" customHeight="1" hidden="1">
      <c r="A52" s="6"/>
      <c r="B52" s="29">
        <v>2730</v>
      </c>
      <c r="C52" s="30" t="s">
        <v>72</v>
      </c>
      <c r="D52" s="34">
        <f>'2019-3 СВОД'!D964</f>
        <v>0</v>
      </c>
      <c r="E52" s="34">
        <f>'2019-3 СВОД'!E964</f>
        <v>0</v>
      </c>
      <c r="F52" s="34">
        <f>'2019-3 СВОД'!F964</f>
        <v>0</v>
      </c>
      <c r="G52" s="34">
        <f>'2019-3 СВОД'!G964</f>
        <v>0</v>
      </c>
      <c r="H52" s="427"/>
      <c r="I52" s="427"/>
    </row>
    <row r="53" spans="1:9" ht="12.75" customHeight="1">
      <c r="A53" s="6"/>
      <c r="B53" s="27">
        <v>2800</v>
      </c>
      <c r="C53" s="28" t="s">
        <v>73</v>
      </c>
      <c r="D53" s="34">
        <f>'2019-3 СВОД'!D965</f>
        <v>12.73</v>
      </c>
      <c r="E53" s="34">
        <f>'2019-3 СВОД'!E965</f>
        <v>16.2</v>
      </c>
      <c r="F53" s="34">
        <f>'2019-3 СВОД'!F965</f>
        <v>3.6</v>
      </c>
      <c r="G53" s="34">
        <f>'2019-3 СВОД'!G965</f>
        <v>0</v>
      </c>
      <c r="H53" s="427"/>
      <c r="I53" s="427"/>
    </row>
    <row r="54" spans="1:9" ht="21" customHeight="1">
      <c r="A54" s="21"/>
      <c r="B54" s="27">
        <v>3000</v>
      </c>
      <c r="C54" s="28" t="s">
        <v>40</v>
      </c>
      <c r="D54" s="40">
        <f>D55+D69</f>
        <v>2316.04</v>
      </c>
      <c r="E54" s="40">
        <f>E55+E69</f>
        <v>1665</v>
      </c>
      <c r="F54" s="40">
        <f>F55+F69</f>
        <v>0</v>
      </c>
      <c r="G54" s="40">
        <f>G55+G69</f>
        <v>1078.2</v>
      </c>
      <c r="H54" s="403" t="s">
        <v>618</v>
      </c>
      <c r="I54" s="404"/>
    </row>
    <row r="55" spans="1:9" ht="21" customHeight="1">
      <c r="A55" s="21"/>
      <c r="B55" s="27">
        <v>3100</v>
      </c>
      <c r="C55" s="28" t="s">
        <v>41</v>
      </c>
      <c r="D55" s="40">
        <f>D56+D57+D60+D63+D67+D68+D69</f>
        <v>2316.04</v>
      </c>
      <c r="E55" s="40">
        <f>E56+E57+E60+E63+E67+E68+E69</f>
        <v>1665</v>
      </c>
      <c r="F55" s="40">
        <f>F56+F57+F60+F63+F67+F68+F69</f>
        <v>0</v>
      </c>
      <c r="G55" s="40">
        <f>G56+G57+G60+G63+G67+G68+G69</f>
        <v>1078.2</v>
      </c>
      <c r="H55" s="405"/>
      <c r="I55" s="406"/>
    </row>
    <row r="56" spans="1:9" ht="21" customHeight="1">
      <c r="A56" s="21"/>
      <c r="B56" s="29">
        <v>3110</v>
      </c>
      <c r="C56" s="30" t="s">
        <v>74</v>
      </c>
      <c r="D56" s="34">
        <f>'2019-3 СВОД'!D968</f>
        <v>972.95</v>
      </c>
      <c r="E56" s="34">
        <f>'2019-3 СВОД'!E968</f>
        <v>1425</v>
      </c>
      <c r="F56" s="34">
        <f>'2019-3 СВОД'!F968</f>
        <v>0</v>
      </c>
      <c r="G56" s="34">
        <f>'2019-3 СВОД'!G968</f>
        <v>1078.2</v>
      </c>
      <c r="H56" s="407"/>
      <c r="I56" s="408"/>
    </row>
    <row r="57" spans="1:9" ht="12.75" hidden="1">
      <c r="A57" s="21"/>
      <c r="B57" s="29">
        <v>3120</v>
      </c>
      <c r="C57" s="30" t="s">
        <v>75</v>
      </c>
      <c r="D57" s="40">
        <f>D58+D59</f>
        <v>0</v>
      </c>
      <c r="E57" s="40">
        <f>E58+E59</f>
        <v>0</v>
      </c>
      <c r="F57" s="40">
        <f>F58+F59</f>
        <v>0</v>
      </c>
      <c r="G57" s="40">
        <f>G58+G59</f>
        <v>0</v>
      </c>
      <c r="H57" s="427"/>
      <c r="I57" s="427"/>
    </row>
    <row r="58" spans="1:9" ht="12.75" hidden="1">
      <c r="A58" s="21"/>
      <c r="B58" s="29">
        <v>3121</v>
      </c>
      <c r="C58" s="30" t="s">
        <v>76</v>
      </c>
      <c r="D58" s="34">
        <f>'2019-3 СВОД'!D970</f>
        <v>0</v>
      </c>
      <c r="E58" s="34">
        <f>'2019-3 СВОД'!E970</f>
        <v>0</v>
      </c>
      <c r="F58" s="34">
        <f>'2019-3 СВОД'!F970</f>
        <v>0</v>
      </c>
      <c r="G58" s="34">
        <f>'2019-3 СВОД'!G970</f>
        <v>0</v>
      </c>
      <c r="H58" s="427"/>
      <c r="I58" s="427"/>
    </row>
    <row r="59" spans="1:9" ht="12.75" hidden="1">
      <c r="A59" s="21"/>
      <c r="B59" s="29">
        <v>3122</v>
      </c>
      <c r="C59" s="30" t="s">
        <v>77</v>
      </c>
      <c r="D59" s="34">
        <f>'2019-3 СВОД'!D971</f>
        <v>0</v>
      </c>
      <c r="E59" s="34">
        <f>'2019-3 СВОД'!E971</f>
        <v>0</v>
      </c>
      <c r="F59" s="34">
        <f>'2019-3 СВОД'!F971</f>
        <v>0</v>
      </c>
      <c r="G59" s="34">
        <f>'2019-3 СВОД'!G971</f>
        <v>0</v>
      </c>
      <c r="H59" s="427"/>
      <c r="I59" s="427"/>
    </row>
    <row r="60" spans="1:9" ht="12.75">
      <c r="A60" s="21"/>
      <c r="B60" s="29">
        <v>3130</v>
      </c>
      <c r="C60" s="30" t="s">
        <v>78</v>
      </c>
      <c r="D60" s="40">
        <f>D61+D62</f>
        <v>1343.09</v>
      </c>
      <c r="E60" s="40">
        <f>E61+E62</f>
        <v>240</v>
      </c>
      <c r="F60" s="40">
        <f>F61+F62</f>
        <v>0</v>
      </c>
      <c r="G60" s="40">
        <f>G61+G62</f>
        <v>0</v>
      </c>
      <c r="H60" s="427"/>
      <c r="I60" s="427"/>
    </row>
    <row r="61" spans="1:9" ht="12.75" hidden="1">
      <c r="A61" s="21"/>
      <c r="B61" s="29">
        <v>3131</v>
      </c>
      <c r="C61" s="30" t="s">
        <v>79</v>
      </c>
      <c r="D61" s="34">
        <f>'2019-3 СВОД'!D973</f>
        <v>0</v>
      </c>
      <c r="E61" s="34">
        <f>'2019-3 СВОД'!E973</f>
        <v>0</v>
      </c>
      <c r="F61" s="34">
        <f>'2019-3 СВОД'!F973</f>
        <v>0</v>
      </c>
      <c r="G61" s="34">
        <f>'2019-3 СВОД'!G973</f>
        <v>0</v>
      </c>
      <c r="H61" s="427"/>
      <c r="I61" s="427"/>
    </row>
    <row r="62" spans="1:9" ht="12.75">
      <c r="A62" s="21"/>
      <c r="B62" s="29">
        <v>3132</v>
      </c>
      <c r="C62" s="30" t="s">
        <v>80</v>
      </c>
      <c r="D62" s="34">
        <f>'2019-3 СВОД'!D974</f>
        <v>1343.09</v>
      </c>
      <c r="E62" s="34">
        <f>'2019-3 СВОД'!E974</f>
        <v>240</v>
      </c>
      <c r="F62" s="34">
        <f>'2019-3 СВОД'!F974</f>
        <v>0</v>
      </c>
      <c r="G62" s="34">
        <f>'2019-3 СВОД'!G974</f>
        <v>0</v>
      </c>
      <c r="H62" s="427"/>
      <c r="I62" s="427"/>
    </row>
    <row r="63" spans="1:9" ht="12.75" hidden="1">
      <c r="A63" s="21"/>
      <c r="B63" s="29">
        <v>3140</v>
      </c>
      <c r="C63" s="30" t="s">
        <v>81</v>
      </c>
      <c r="D63" s="40">
        <f>D64+D65+D66</f>
        <v>0</v>
      </c>
      <c r="E63" s="40">
        <f>E64+E65+E66</f>
        <v>0</v>
      </c>
      <c r="F63" s="40">
        <f>F64+F65+F66</f>
        <v>0</v>
      </c>
      <c r="G63" s="40">
        <f>G64+G65+G66</f>
        <v>0</v>
      </c>
      <c r="H63" s="427"/>
      <c r="I63" s="427"/>
    </row>
    <row r="64" spans="1:9" ht="12.75" hidden="1">
      <c r="A64" s="21"/>
      <c r="B64" s="29">
        <v>3141</v>
      </c>
      <c r="C64" s="30" t="s">
        <v>82</v>
      </c>
      <c r="D64" s="34">
        <f>'2019-3 СВОД'!D976</f>
        <v>0</v>
      </c>
      <c r="E64" s="34">
        <f>'2019-3 СВОД'!E976</f>
        <v>0</v>
      </c>
      <c r="F64" s="34">
        <f>'2019-3 СВОД'!F976</f>
        <v>0</v>
      </c>
      <c r="G64" s="34">
        <f>'2019-3 СВОД'!G976</f>
        <v>0</v>
      </c>
      <c r="H64" s="427"/>
      <c r="I64" s="427"/>
    </row>
    <row r="65" spans="1:9" ht="12.75" hidden="1">
      <c r="A65" s="21"/>
      <c r="B65" s="29">
        <v>3142</v>
      </c>
      <c r="C65" s="30" t="s">
        <v>83</v>
      </c>
      <c r="D65" s="34">
        <f>'2019-3 СВОД'!D977</f>
        <v>0</v>
      </c>
      <c r="E65" s="34">
        <f>'2019-3 СВОД'!E977</f>
        <v>0</v>
      </c>
      <c r="F65" s="34">
        <f>'2019-3 СВОД'!F977</f>
        <v>0</v>
      </c>
      <c r="G65" s="34">
        <f>'2019-3 СВОД'!G977</f>
        <v>0</v>
      </c>
      <c r="H65" s="427"/>
      <c r="I65" s="427"/>
    </row>
    <row r="66" spans="1:9" ht="12.75" hidden="1">
      <c r="A66" s="21"/>
      <c r="B66" s="29">
        <v>3143</v>
      </c>
      <c r="C66" s="30" t="s">
        <v>84</v>
      </c>
      <c r="D66" s="34">
        <f>'2019-3 СВОД'!D978</f>
        <v>0</v>
      </c>
      <c r="E66" s="34">
        <f>'2019-3 СВОД'!E978</f>
        <v>0</v>
      </c>
      <c r="F66" s="34">
        <f>'2019-3 СВОД'!F978</f>
        <v>0</v>
      </c>
      <c r="G66" s="34">
        <f>'2019-3 СВОД'!G978</f>
        <v>0</v>
      </c>
      <c r="H66" s="427"/>
      <c r="I66" s="427"/>
    </row>
    <row r="67" spans="1:9" ht="12.75" hidden="1">
      <c r="A67" s="21"/>
      <c r="B67" s="29">
        <v>3150</v>
      </c>
      <c r="C67" s="30" t="s">
        <v>85</v>
      </c>
      <c r="D67" s="34">
        <f>'2019-3 СВОД'!D979</f>
        <v>0</v>
      </c>
      <c r="E67" s="34">
        <f>'2019-3 СВОД'!E979</f>
        <v>0</v>
      </c>
      <c r="F67" s="34">
        <f>'2019-3 СВОД'!F979</f>
        <v>0</v>
      </c>
      <c r="G67" s="34">
        <f>'2019-3 СВОД'!G979</f>
        <v>0</v>
      </c>
      <c r="H67" s="427"/>
      <c r="I67" s="427"/>
    </row>
    <row r="68" spans="1:9" ht="12.75" hidden="1">
      <c r="A68" s="21"/>
      <c r="B68" s="29">
        <v>3160</v>
      </c>
      <c r="C68" s="30" t="s">
        <v>86</v>
      </c>
      <c r="D68" s="34">
        <f>'2019-3 СВОД'!D980</f>
        <v>0</v>
      </c>
      <c r="E68" s="34">
        <f>'2019-3 СВОД'!E980</f>
        <v>0</v>
      </c>
      <c r="F68" s="34">
        <f>'2019-3 СВОД'!F980</f>
        <v>0</v>
      </c>
      <c r="G68" s="34">
        <f>'2019-3 СВОД'!G980</f>
        <v>0</v>
      </c>
      <c r="H68" s="427"/>
      <c r="I68" s="427"/>
    </row>
    <row r="69" spans="1:9" ht="12.75" hidden="1">
      <c r="A69" s="21"/>
      <c r="B69" s="27">
        <v>3200</v>
      </c>
      <c r="C69" s="28" t="s">
        <v>87</v>
      </c>
      <c r="D69" s="40">
        <f>D70+D71+D72+D73</f>
        <v>0</v>
      </c>
      <c r="E69" s="40">
        <f>E70+E71+E72+E73</f>
        <v>0</v>
      </c>
      <c r="F69" s="40">
        <f>F70+F71+F72+F73</f>
        <v>0</v>
      </c>
      <c r="G69" s="40">
        <f>G70+G71+G72+G73</f>
        <v>0</v>
      </c>
      <c r="H69" s="427"/>
      <c r="I69" s="427"/>
    </row>
    <row r="70" spans="1:9" ht="12.75" hidden="1">
      <c r="A70" s="21"/>
      <c r="B70" s="29">
        <v>3210</v>
      </c>
      <c r="C70" s="30" t="s">
        <v>88</v>
      </c>
      <c r="D70" s="34">
        <f>'2019-3 СВОД'!D982</f>
        <v>0</v>
      </c>
      <c r="E70" s="34">
        <f>'2019-3 СВОД'!E982</f>
        <v>0</v>
      </c>
      <c r="F70" s="34">
        <f>'2019-3 СВОД'!F982</f>
        <v>0</v>
      </c>
      <c r="G70" s="34">
        <f>'2019-3 СВОД'!G982</f>
        <v>0</v>
      </c>
      <c r="H70" s="427"/>
      <c r="I70" s="427"/>
    </row>
    <row r="71" spans="1:9" ht="12.75" hidden="1">
      <c r="A71" s="21"/>
      <c r="B71" s="29">
        <v>3220</v>
      </c>
      <c r="C71" s="30" t="s">
        <v>89</v>
      </c>
      <c r="D71" s="34">
        <f>'2019-3 СВОД'!D983</f>
        <v>0</v>
      </c>
      <c r="E71" s="34">
        <f>'2019-3 СВОД'!E983</f>
        <v>0</v>
      </c>
      <c r="F71" s="34">
        <f>'2019-3 СВОД'!F983</f>
        <v>0</v>
      </c>
      <c r="G71" s="34">
        <f>'2019-3 СВОД'!G983</f>
        <v>0</v>
      </c>
      <c r="H71" s="427"/>
      <c r="I71" s="427"/>
    </row>
    <row r="72" spans="1:9" ht="12.75" hidden="1">
      <c r="A72" s="21"/>
      <c r="B72" s="29">
        <v>3230</v>
      </c>
      <c r="C72" s="30" t="s">
        <v>90</v>
      </c>
      <c r="D72" s="34">
        <f>'2019-3 СВОД'!D984</f>
        <v>0</v>
      </c>
      <c r="E72" s="34">
        <f>'2019-3 СВОД'!E984</f>
        <v>0</v>
      </c>
      <c r="F72" s="34">
        <f>'2019-3 СВОД'!F984</f>
        <v>0</v>
      </c>
      <c r="G72" s="34">
        <f>'2019-3 СВОД'!G984</f>
        <v>0</v>
      </c>
      <c r="H72" s="427"/>
      <c r="I72" s="427"/>
    </row>
    <row r="73" spans="1:9" ht="13.5" customHeight="1" hidden="1">
      <c r="A73" s="21"/>
      <c r="B73" s="29">
        <v>3240</v>
      </c>
      <c r="C73" s="30" t="s">
        <v>91</v>
      </c>
      <c r="D73" s="34">
        <f>'2019-3 СВОД'!D985</f>
        <v>0</v>
      </c>
      <c r="E73" s="34">
        <f>'2019-3 СВОД'!E985</f>
        <v>0</v>
      </c>
      <c r="F73" s="34">
        <f>'2019-3 СВОД'!F985</f>
        <v>0</v>
      </c>
      <c r="G73" s="34">
        <f>'2019-3 СВОД'!G985</f>
        <v>0</v>
      </c>
      <c r="H73" s="427"/>
      <c r="I73" s="427"/>
    </row>
    <row r="74" spans="1:9" s="19" customFormat="1" ht="13.5" customHeight="1">
      <c r="A74" s="7"/>
      <c r="B74" s="7"/>
      <c r="C74" s="20" t="s">
        <v>3</v>
      </c>
      <c r="D74" s="34">
        <f>D19+D54</f>
        <v>26760.199999999997</v>
      </c>
      <c r="E74" s="34">
        <f>E19+E54</f>
        <v>34405.147000000004</v>
      </c>
      <c r="F74" s="34">
        <f>F19+F54</f>
        <v>37046.1</v>
      </c>
      <c r="G74" s="34">
        <f>G19+G54</f>
        <v>2544.5</v>
      </c>
      <c r="H74" s="427"/>
      <c r="I74" s="427"/>
    </row>
    <row r="75" spans="1:9" s="156" customFormat="1" ht="26.25">
      <c r="A75" s="154"/>
      <c r="B75" s="154">
        <f>'2019-3 СВОД'!B987</f>
        <v>1115032</v>
      </c>
      <c r="C75" s="154" t="str">
        <f>'2019-3 СВОД'!C987</f>
        <v>Підпрограма Фінансова підтримка дитячо-юнацьких спортивних шкіл фізкультурно-спортивних товариств</v>
      </c>
      <c r="D75" s="170">
        <f>D76+D111</f>
        <v>9355.84</v>
      </c>
      <c r="E75" s="170">
        <f>E76+E111</f>
        <v>10813.1</v>
      </c>
      <c r="F75" s="170">
        <f>F76+F111</f>
        <v>11778.9</v>
      </c>
      <c r="G75" s="170">
        <f>G76+G111</f>
        <v>532.8</v>
      </c>
      <c r="H75" s="464"/>
      <c r="I75" s="465"/>
    </row>
    <row r="76" spans="1:9" ht="31.5" customHeight="1">
      <c r="A76" s="6"/>
      <c r="B76" s="27">
        <v>2000</v>
      </c>
      <c r="C76" s="28" t="s">
        <v>37</v>
      </c>
      <c r="D76" s="33">
        <f>D77+D82+D99+D102+D106+D110</f>
        <v>9355.84</v>
      </c>
      <c r="E76" s="33">
        <f>E77+E82+E99+E102+E106+E110</f>
        <v>10813.1</v>
      </c>
      <c r="F76" s="33">
        <f>F77+F82+F99+F102+F106+F110</f>
        <v>11778.9</v>
      </c>
      <c r="G76" s="33">
        <f>G77+G82+G99+G102+G106+G110</f>
        <v>532.8</v>
      </c>
      <c r="H76" s="403" t="s">
        <v>619</v>
      </c>
      <c r="I76" s="404"/>
    </row>
    <row r="77" spans="1:9" ht="12.75" customHeight="1" hidden="1">
      <c r="A77" s="6"/>
      <c r="B77" s="29">
        <v>2100</v>
      </c>
      <c r="C77" s="30" t="s">
        <v>38</v>
      </c>
      <c r="D77" s="35">
        <f>D78+D81</f>
        <v>0</v>
      </c>
      <c r="E77" s="35">
        <f>E78+E81</f>
        <v>0</v>
      </c>
      <c r="F77" s="35">
        <f>F78+F81</f>
        <v>0</v>
      </c>
      <c r="G77" s="35">
        <f>G78+G81</f>
        <v>0</v>
      </c>
      <c r="H77" s="405"/>
      <c r="I77" s="406"/>
    </row>
    <row r="78" spans="1:9" ht="12.75" customHeight="1" hidden="1">
      <c r="A78" s="6"/>
      <c r="B78" s="29">
        <v>2110</v>
      </c>
      <c r="C78" s="30" t="s">
        <v>39</v>
      </c>
      <c r="D78" s="35">
        <f>D79+D80</f>
        <v>0</v>
      </c>
      <c r="E78" s="35">
        <f>E79+E80</f>
        <v>0</v>
      </c>
      <c r="F78" s="35">
        <f>F79+F80</f>
        <v>0</v>
      </c>
      <c r="G78" s="35">
        <f>G79+G80</f>
        <v>0</v>
      </c>
      <c r="H78" s="405"/>
      <c r="I78" s="406"/>
    </row>
    <row r="79" spans="1:9" ht="12.75" customHeight="1" hidden="1">
      <c r="A79" s="6"/>
      <c r="B79" s="29">
        <v>2111</v>
      </c>
      <c r="C79" s="30" t="s">
        <v>42</v>
      </c>
      <c r="D79" s="34">
        <f>'2019-3 СВОД'!D991</f>
        <v>0</v>
      </c>
      <c r="E79" s="34">
        <f>'2019-3 СВОД'!E991</f>
        <v>0</v>
      </c>
      <c r="F79" s="34">
        <f>'2019-3 СВОД'!F991</f>
        <v>0</v>
      </c>
      <c r="G79" s="34">
        <f>'2019-3 СВОД'!G991</f>
        <v>0</v>
      </c>
      <c r="H79" s="405"/>
      <c r="I79" s="406"/>
    </row>
    <row r="80" spans="1:9" ht="12.75" customHeight="1" hidden="1">
      <c r="A80" s="6"/>
      <c r="B80" s="29">
        <v>2112</v>
      </c>
      <c r="C80" s="30" t="s">
        <v>43</v>
      </c>
      <c r="D80" s="34">
        <f>'2019-3 СВОД'!D992</f>
        <v>0</v>
      </c>
      <c r="E80" s="34">
        <f>'2019-3 СВОД'!E992</f>
        <v>0</v>
      </c>
      <c r="F80" s="34">
        <f>'2019-3 СВОД'!F992</f>
        <v>0</v>
      </c>
      <c r="G80" s="34">
        <f>'2019-3 СВОД'!G992</f>
        <v>0</v>
      </c>
      <c r="H80" s="405"/>
      <c r="I80" s="406"/>
    </row>
    <row r="81" spans="1:9" ht="12.75" customHeight="1" hidden="1">
      <c r="A81" s="6"/>
      <c r="B81" s="29">
        <v>2120</v>
      </c>
      <c r="C81" s="30" t="s">
        <v>44</v>
      </c>
      <c r="D81" s="34">
        <f>'2019-3 СВОД'!D993</f>
        <v>0</v>
      </c>
      <c r="E81" s="34">
        <f>'2019-3 СВОД'!E993</f>
        <v>0</v>
      </c>
      <c r="F81" s="34">
        <f>'2019-3 СВОД'!F993</f>
        <v>0</v>
      </c>
      <c r="G81" s="34">
        <f>'2019-3 СВОД'!G993</f>
        <v>0</v>
      </c>
      <c r="H81" s="405"/>
      <c r="I81" s="406"/>
    </row>
    <row r="82" spans="1:9" ht="12.75" customHeight="1" hidden="1">
      <c r="A82" s="6"/>
      <c r="B82" s="27">
        <v>2200</v>
      </c>
      <c r="C82" s="28" t="s">
        <v>45</v>
      </c>
      <c r="D82" s="33">
        <f>SUM(D83:D89)+D96</f>
        <v>0</v>
      </c>
      <c r="E82" s="33">
        <f>SUM(E83:E89)+E96</f>
        <v>0</v>
      </c>
      <c r="F82" s="33">
        <f>SUM(F83:F89)+F96</f>
        <v>0</v>
      </c>
      <c r="G82" s="33">
        <f>SUM(G83:G89)+G96</f>
        <v>0</v>
      </c>
      <c r="H82" s="405"/>
      <c r="I82" s="406"/>
    </row>
    <row r="83" spans="1:9" ht="12.75" customHeight="1" hidden="1">
      <c r="A83" s="6"/>
      <c r="B83" s="29">
        <v>2210</v>
      </c>
      <c r="C83" s="30" t="s">
        <v>46</v>
      </c>
      <c r="D83" s="34">
        <f>'2019-3 СВОД'!D995</f>
        <v>0</v>
      </c>
      <c r="E83" s="34">
        <f>'2019-3 СВОД'!E995</f>
        <v>0</v>
      </c>
      <c r="F83" s="34">
        <f>'2019-3 СВОД'!F995</f>
        <v>0</v>
      </c>
      <c r="G83" s="34">
        <f>'2019-3 СВОД'!G995</f>
        <v>0</v>
      </c>
      <c r="H83" s="405"/>
      <c r="I83" s="406"/>
    </row>
    <row r="84" spans="1:9" ht="12.75" customHeight="1" hidden="1">
      <c r="A84" s="6"/>
      <c r="B84" s="29">
        <v>2220</v>
      </c>
      <c r="C84" s="30" t="s">
        <v>47</v>
      </c>
      <c r="D84" s="34">
        <f>'2019-3 СВОД'!D996</f>
        <v>0</v>
      </c>
      <c r="E84" s="34">
        <f>'2019-3 СВОД'!E996</f>
        <v>0</v>
      </c>
      <c r="F84" s="34">
        <f>'2019-3 СВОД'!F996</f>
        <v>0</v>
      </c>
      <c r="G84" s="34">
        <f>'2019-3 СВОД'!G996</f>
        <v>0</v>
      </c>
      <c r="H84" s="405"/>
      <c r="I84" s="406"/>
    </row>
    <row r="85" spans="1:9" ht="12.75" customHeight="1" hidden="1">
      <c r="A85" s="6"/>
      <c r="B85" s="29">
        <v>2230</v>
      </c>
      <c r="C85" s="30" t="s">
        <v>48</v>
      </c>
      <c r="D85" s="34">
        <f>'2019-3 СВОД'!D997</f>
        <v>0</v>
      </c>
      <c r="E85" s="34">
        <f>'2019-3 СВОД'!E997</f>
        <v>0</v>
      </c>
      <c r="F85" s="34">
        <f>'2019-3 СВОД'!F997</f>
        <v>0</v>
      </c>
      <c r="G85" s="34">
        <f>'2019-3 СВОД'!G997</f>
        <v>0</v>
      </c>
      <c r="H85" s="405"/>
      <c r="I85" s="406"/>
    </row>
    <row r="86" spans="1:9" ht="12.75" customHeight="1" hidden="1">
      <c r="A86" s="6"/>
      <c r="B86" s="29">
        <v>2240</v>
      </c>
      <c r="C86" s="30" t="s">
        <v>49</v>
      </c>
      <c r="D86" s="34">
        <f>'2019-3 СВОД'!D998</f>
        <v>0</v>
      </c>
      <c r="E86" s="34">
        <f>'2019-3 СВОД'!E998</f>
        <v>0</v>
      </c>
      <c r="F86" s="34">
        <f>'2019-3 СВОД'!F998</f>
        <v>0</v>
      </c>
      <c r="G86" s="34">
        <f>'2019-3 СВОД'!G998</f>
        <v>0</v>
      </c>
      <c r="H86" s="405"/>
      <c r="I86" s="406"/>
    </row>
    <row r="87" spans="1:9" ht="12.75" customHeight="1" hidden="1">
      <c r="A87" s="6"/>
      <c r="B87" s="29">
        <v>2250</v>
      </c>
      <c r="C87" s="30" t="s">
        <v>50</v>
      </c>
      <c r="D87" s="34">
        <f>'2019-3 СВОД'!D999</f>
        <v>0</v>
      </c>
      <c r="E87" s="34">
        <f>'2019-3 СВОД'!E999</f>
        <v>0</v>
      </c>
      <c r="F87" s="34">
        <f>'2019-3 СВОД'!F999</f>
        <v>0</v>
      </c>
      <c r="G87" s="34">
        <f>'2019-3 СВОД'!G999</f>
        <v>0</v>
      </c>
      <c r="H87" s="405"/>
      <c r="I87" s="406"/>
    </row>
    <row r="88" spans="1:9" ht="12.75" customHeight="1" hidden="1">
      <c r="A88" s="6"/>
      <c r="B88" s="29">
        <v>2260</v>
      </c>
      <c r="C88" s="30" t="s">
        <v>51</v>
      </c>
      <c r="D88" s="34">
        <f>'2019-3 СВОД'!D1000</f>
        <v>0</v>
      </c>
      <c r="E88" s="34">
        <f>'2019-3 СВОД'!E1000</f>
        <v>0</v>
      </c>
      <c r="F88" s="34">
        <f>'2019-3 СВОД'!F1000</f>
        <v>0</v>
      </c>
      <c r="G88" s="34">
        <f>'2019-3 СВОД'!G1000</f>
        <v>0</v>
      </c>
      <c r="H88" s="405"/>
      <c r="I88" s="406"/>
    </row>
    <row r="89" spans="1:9" ht="12.75" customHeight="1" hidden="1">
      <c r="A89" s="6"/>
      <c r="B89" s="27">
        <v>2270</v>
      </c>
      <c r="C89" s="28" t="s">
        <v>52</v>
      </c>
      <c r="D89" s="33">
        <f>D90+D91+D92+D93+D94+D95</f>
        <v>0</v>
      </c>
      <c r="E89" s="33">
        <f>E90+E91+E92+E93+E94+E95</f>
        <v>0</v>
      </c>
      <c r="F89" s="33">
        <f>F90+F91+F92+F93+F94+F95</f>
        <v>0</v>
      </c>
      <c r="G89" s="33">
        <f>G90+G91+G92+G93+G94+G95</f>
        <v>0</v>
      </c>
      <c r="H89" s="405"/>
      <c r="I89" s="406"/>
    </row>
    <row r="90" spans="1:9" ht="12.75" customHeight="1" hidden="1">
      <c r="A90" s="6"/>
      <c r="B90" s="29">
        <v>2271</v>
      </c>
      <c r="C90" s="30" t="s">
        <v>53</v>
      </c>
      <c r="D90" s="34">
        <f>'2019-3 СВОД'!D1002</f>
        <v>0</v>
      </c>
      <c r="E90" s="34">
        <f>'2019-3 СВОД'!E1002</f>
        <v>0</v>
      </c>
      <c r="F90" s="34">
        <f>'2019-3 СВОД'!F1002</f>
        <v>0</v>
      </c>
      <c r="G90" s="34">
        <f>'2019-3 СВОД'!G1002</f>
        <v>0</v>
      </c>
      <c r="H90" s="405"/>
      <c r="I90" s="406"/>
    </row>
    <row r="91" spans="1:9" ht="12.75" customHeight="1" hidden="1">
      <c r="A91" s="6"/>
      <c r="B91" s="29">
        <v>2272</v>
      </c>
      <c r="C91" s="30" t="s">
        <v>54</v>
      </c>
      <c r="D91" s="34">
        <f>'2019-3 СВОД'!D1003</f>
        <v>0</v>
      </c>
      <c r="E91" s="34">
        <f>'2019-3 СВОД'!E1003</f>
        <v>0</v>
      </c>
      <c r="F91" s="34">
        <f>'2019-3 СВОД'!F1003</f>
        <v>0</v>
      </c>
      <c r="G91" s="34">
        <f>'2019-3 СВОД'!G1003</f>
        <v>0</v>
      </c>
      <c r="H91" s="405"/>
      <c r="I91" s="406"/>
    </row>
    <row r="92" spans="1:9" ht="12.75" customHeight="1" hidden="1">
      <c r="A92" s="6"/>
      <c r="B92" s="29">
        <v>2273</v>
      </c>
      <c r="C92" s="30" t="s">
        <v>55</v>
      </c>
      <c r="D92" s="34">
        <f>'2019-3 СВОД'!D1004</f>
        <v>0</v>
      </c>
      <c r="E92" s="34">
        <f>'2019-3 СВОД'!E1004</f>
        <v>0</v>
      </c>
      <c r="F92" s="34">
        <f>'2019-3 СВОД'!F1004</f>
        <v>0</v>
      </c>
      <c r="G92" s="34">
        <f>'2019-3 СВОД'!G1004</f>
        <v>0</v>
      </c>
      <c r="H92" s="405"/>
      <c r="I92" s="406"/>
    </row>
    <row r="93" spans="1:9" ht="12.75" customHeight="1" hidden="1">
      <c r="A93" s="6"/>
      <c r="B93" s="29">
        <v>2274</v>
      </c>
      <c r="C93" s="30" t="s">
        <v>56</v>
      </c>
      <c r="D93" s="34">
        <f>'2019-3 СВОД'!D1005</f>
        <v>0</v>
      </c>
      <c r="E93" s="34">
        <f>'2019-3 СВОД'!E1005</f>
        <v>0</v>
      </c>
      <c r="F93" s="34">
        <f>'2019-3 СВОД'!F1005</f>
        <v>0</v>
      </c>
      <c r="G93" s="34">
        <f>'2019-3 СВОД'!G1005</f>
        <v>0</v>
      </c>
      <c r="H93" s="405"/>
      <c r="I93" s="406"/>
    </row>
    <row r="94" spans="1:9" ht="12.75" customHeight="1" hidden="1">
      <c r="A94" s="6"/>
      <c r="B94" s="29">
        <v>2275</v>
      </c>
      <c r="C94" s="30" t="s">
        <v>57</v>
      </c>
      <c r="D94" s="34">
        <f>'2019-3 СВОД'!D1006</f>
        <v>0</v>
      </c>
      <c r="E94" s="34">
        <f>'2019-3 СВОД'!E1006</f>
        <v>0</v>
      </c>
      <c r="F94" s="34">
        <f>'2019-3 СВОД'!F1006</f>
        <v>0</v>
      </c>
      <c r="G94" s="34">
        <f>'2019-3 СВОД'!G1006</f>
        <v>0</v>
      </c>
      <c r="H94" s="405"/>
      <c r="I94" s="406"/>
    </row>
    <row r="95" spans="1:9" ht="12.75" customHeight="1" hidden="1">
      <c r="A95" s="6"/>
      <c r="B95" s="31">
        <v>2276</v>
      </c>
      <c r="C95" s="32" t="s">
        <v>58</v>
      </c>
      <c r="D95" s="34">
        <f>'2019-3 СВОД'!D1007</f>
        <v>0</v>
      </c>
      <c r="E95" s="34">
        <f>'2019-3 СВОД'!E1007</f>
        <v>0</v>
      </c>
      <c r="F95" s="34">
        <f>'2019-3 СВОД'!F1007</f>
        <v>0</v>
      </c>
      <c r="G95" s="34">
        <f>'2019-3 СВОД'!G1007</f>
        <v>0</v>
      </c>
      <c r="H95" s="405"/>
      <c r="I95" s="406"/>
    </row>
    <row r="96" spans="1:9" ht="12.75" customHeight="1" hidden="1">
      <c r="A96" s="6"/>
      <c r="B96" s="27">
        <v>2280</v>
      </c>
      <c r="C96" s="28" t="s">
        <v>59</v>
      </c>
      <c r="D96" s="33">
        <f>D97+D98</f>
        <v>0</v>
      </c>
      <c r="E96" s="33">
        <f>E97+E98</f>
        <v>0</v>
      </c>
      <c r="F96" s="33">
        <f>F97+F98</f>
        <v>0</v>
      </c>
      <c r="G96" s="33">
        <f>G97+G98</f>
        <v>0</v>
      </c>
      <c r="H96" s="405"/>
      <c r="I96" s="406"/>
    </row>
    <row r="97" spans="1:9" ht="12.75" customHeight="1" hidden="1">
      <c r="A97" s="6"/>
      <c r="B97" s="29">
        <v>2281</v>
      </c>
      <c r="C97" s="30" t="s">
        <v>60</v>
      </c>
      <c r="D97" s="34">
        <f>'2019-3 СВОД'!D1009</f>
        <v>0</v>
      </c>
      <c r="E97" s="34">
        <f>'2019-3 СВОД'!E1009</f>
        <v>0</v>
      </c>
      <c r="F97" s="34">
        <f>'2019-3 СВОД'!F1009</f>
        <v>0</v>
      </c>
      <c r="G97" s="34">
        <f>'2019-3 СВОД'!G1009</f>
        <v>0</v>
      </c>
      <c r="H97" s="405"/>
      <c r="I97" s="406"/>
    </row>
    <row r="98" spans="1:9" ht="12.75" customHeight="1" hidden="1">
      <c r="A98" s="6"/>
      <c r="B98" s="29">
        <v>2282</v>
      </c>
      <c r="C98" s="30" t="s">
        <v>61</v>
      </c>
      <c r="D98" s="34">
        <f>'2019-3 СВОД'!D1010</f>
        <v>0</v>
      </c>
      <c r="E98" s="34">
        <f>'2019-3 СВОД'!E1010</f>
        <v>0</v>
      </c>
      <c r="F98" s="34">
        <f>'2019-3 СВОД'!F1010</f>
        <v>0</v>
      </c>
      <c r="G98" s="34">
        <f>'2019-3 СВОД'!G1010</f>
        <v>0</v>
      </c>
      <c r="H98" s="405"/>
      <c r="I98" s="406"/>
    </row>
    <row r="99" spans="1:9" ht="12.75" customHeight="1" hidden="1">
      <c r="A99" s="6"/>
      <c r="B99" s="27">
        <v>2400</v>
      </c>
      <c r="C99" s="28" t="s">
        <v>62</v>
      </c>
      <c r="D99" s="34">
        <f>D100+D101</f>
        <v>0</v>
      </c>
      <c r="E99" s="34">
        <f>E100+E101</f>
        <v>0</v>
      </c>
      <c r="F99" s="34">
        <f>F100+F101</f>
        <v>0</v>
      </c>
      <c r="G99" s="34">
        <f>G100+G101</f>
        <v>0</v>
      </c>
      <c r="H99" s="405"/>
      <c r="I99" s="406"/>
    </row>
    <row r="100" spans="1:9" ht="12.75" customHeight="1" hidden="1">
      <c r="A100" s="6"/>
      <c r="B100" s="29">
        <v>2410</v>
      </c>
      <c r="C100" s="30" t="s">
        <v>63</v>
      </c>
      <c r="D100" s="34">
        <f>'2019-3 СВОД'!D1012</f>
        <v>0</v>
      </c>
      <c r="E100" s="34">
        <f>'2019-3 СВОД'!E1012</f>
        <v>0</v>
      </c>
      <c r="F100" s="34">
        <f>'2019-3 СВОД'!F1012</f>
        <v>0</v>
      </c>
      <c r="G100" s="34">
        <f>'2019-3 СВОД'!G1012</f>
        <v>0</v>
      </c>
      <c r="H100" s="405"/>
      <c r="I100" s="406"/>
    </row>
    <row r="101" spans="1:9" ht="12.75" customHeight="1" hidden="1">
      <c r="A101" s="6"/>
      <c r="B101" s="29">
        <v>2420</v>
      </c>
      <c r="C101" s="30" t="s">
        <v>64</v>
      </c>
      <c r="D101" s="34">
        <f>'2019-3 СВОД'!D1013</f>
        <v>0</v>
      </c>
      <c r="E101" s="34">
        <f>'2019-3 СВОД'!E1013</f>
        <v>0</v>
      </c>
      <c r="F101" s="34">
        <f>'2019-3 СВОД'!F1013</f>
        <v>0</v>
      </c>
      <c r="G101" s="34">
        <f>'2019-3 СВОД'!G1013</f>
        <v>0</v>
      </c>
      <c r="H101" s="405"/>
      <c r="I101" s="406"/>
    </row>
    <row r="102" spans="1:9" ht="31.5" customHeight="1">
      <c r="A102" s="6"/>
      <c r="B102" s="27">
        <v>2600</v>
      </c>
      <c r="C102" s="28" t="s">
        <v>65</v>
      </c>
      <c r="D102" s="33">
        <f>D103+D104+D105</f>
        <v>9355.84</v>
      </c>
      <c r="E102" s="33">
        <f>E103+E104+E105</f>
        <v>10813.1</v>
      </c>
      <c r="F102" s="33">
        <f>F103+F104+F105</f>
        <v>11778.9</v>
      </c>
      <c r="G102" s="33">
        <f>G103+G104+G105</f>
        <v>532.8</v>
      </c>
      <c r="H102" s="405"/>
      <c r="I102" s="406"/>
    </row>
    <row r="103" spans="1:10" ht="31.5" customHeight="1">
      <c r="A103" s="6"/>
      <c r="B103" s="29">
        <v>2610</v>
      </c>
      <c r="C103" s="30" t="s">
        <v>66</v>
      </c>
      <c r="D103" s="34">
        <f>'2019-3 СВОД'!D1015</f>
        <v>9355.84</v>
      </c>
      <c r="E103" s="34">
        <f>'2019-3 СВОД'!E1015</f>
        <v>10813.1</v>
      </c>
      <c r="F103" s="34">
        <f>'2019-3 СВОД'!F1015</f>
        <v>11778.9</v>
      </c>
      <c r="G103" s="34">
        <f>'2019-3 СВОД'!G1015</f>
        <v>532.8</v>
      </c>
      <c r="H103" s="405"/>
      <c r="I103" s="406"/>
      <c r="J103">
        <v>287.8</v>
      </c>
    </row>
    <row r="104" spans="1:9" ht="12.75" customHeight="1" hidden="1">
      <c r="A104" s="6"/>
      <c r="B104" s="29">
        <v>2620</v>
      </c>
      <c r="C104" s="30" t="s">
        <v>67</v>
      </c>
      <c r="D104" s="34">
        <f>'2019-3 СВОД'!D1016</f>
        <v>0</v>
      </c>
      <c r="E104" s="34">
        <f>'2019-3 СВОД'!E1016</f>
        <v>0</v>
      </c>
      <c r="F104" s="34">
        <f>'2019-3 СВОД'!F1016</f>
        <v>0</v>
      </c>
      <c r="G104" s="34">
        <f>'2019-3 СВОД'!G1016</f>
        <v>0</v>
      </c>
      <c r="H104" s="405"/>
      <c r="I104" s="406"/>
    </row>
    <row r="105" spans="1:9" ht="12.75" customHeight="1" hidden="1">
      <c r="A105" s="6"/>
      <c r="B105" s="29">
        <v>2630</v>
      </c>
      <c r="C105" s="30" t="s">
        <v>68</v>
      </c>
      <c r="D105" s="34">
        <f>'2019-3 СВОД'!D1017</f>
        <v>0</v>
      </c>
      <c r="E105" s="34">
        <f>'2019-3 СВОД'!E1017</f>
        <v>0</v>
      </c>
      <c r="F105" s="34">
        <f>'2019-3 СВОД'!F1017</f>
        <v>0</v>
      </c>
      <c r="G105" s="34">
        <f>'2019-3 СВОД'!G1017</f>
        <v>0</v>
      </c>
      <c r="H105" s="405"/>
      <c r="I105" s="406"/>
    </row>
    <row r="106" spans="1:9" ht="12.75" customHeight="1" hidden="1">
      <c r="A106" s="6"/>
      <c r="B106" s="27">
        <v>2700</v>
      </c>
      <c r="C106" s="28" t="s">
        <v>69</v>
      </c>
      <c r="D106" s="33">
        <f>D107+D108+D109</f>
        <v>0</v>
      </c>
      <c r="E106" s="33">
        <f>E107+E108+E109</f>
        <v>0</v>
      </c>
      <c r="F106" s="33">
        <f>F107+F108+F109</f>
        <v>0</v>
      </c>
      <c r="G106" s="33">
        <f>G107+G108+G109</f>
        <v>0</v>
      </c>
      <c r="H106" s="405"/>
      <c r="I106" s="406"/>
    </row>
    <row r="107" spans="1:9" ht="12.75" customHeight="1" hidden="1">
      <c r="A107" s="6"/>
      <c r="B107" s="29">
        <v>2710</v>
      </c>
      <c r="C107" s="30" t="s">
        <v>70</v>
      </c>
      <c r="D107" s="34">
        <f>'2019-3 СВОД'!D1019</f>
        <v>0</v>
      </c>
      <c r="E107" s="34">
        <f>'2019-3 СВОД'!E1019</f>
        <v>0</v>
      </c>
      <c r="F107" s="34">
        <f>'2019-3 СВОД'!F1019</f>
        <v>0</v>
      </c>
      <c r="G107" s="34">
        <f>'2019-3 СВОД'!G1019</f>
        <v>0</v>
      </c>
      <c r="H107" s="405"/>
      <c r="I107" s="406"/>
    </row>
    <row r="108" spans="1:9" ht="12.75" customHeight="1" hidden="1">
      <c r="A108" s="6"/>
      <c r="B108" s="29">
        <v>2720</v>
      </c>
      <c r="C108" s="30" t="s">
        <v>71</v>
      </c>
      <c r="D108" s="34">
        <f>'2019-3 СВОД'!D1020</f>
        <v>0</v>
      </c>
      <c r="E108" s="34">
        <f>'2019-3 СВОД'!E1020</f>
        <v>0</v>
      </c>
      <c r="F108" s="34">
        <f>'2019-3 СВОД'!F1020</f>
        <v>0</v>
      </c>
      <c r="G108" s="34">
        <f>'2019-3 СВОД'!G1020</f>
        <v>0</v>
      </c>
      <c r="H108" s="405"/>
      <c r="I108" s="406"/>
    </row>
    <row r="109" spans="1:9" ht="12.75" customHeight="1" hidden="1">
      <c r="A109" s="6"/>
      <c r="B109" s="29">
        <v>2730</v>
      </c>
      <c r="C109" s="30" t="s">
        <v>72</v>
      </c>
      <c r="D109" s="34">
        <f>'2019-3 СВОД'!D1021</f>
        <v>0</v>
      </c>
      <c r="E109" s="34">
        <f>'2019-3 СВОД'!E1021</f>
        <v>0</v>
      </c>
      <c r="F109" s="34">
        <f>'2019-3 СВОД'!F1021</f>
        <v>0</v>
      </c>
      <c r="G109" s="34">
        <f>'2019-3 СВОД'!G1021</f>
        <v>0</v>
      </c>
      <c r="H109" s="405"/>
      <c r="I109" s="406"/>
    </row>
    <row r="110" spans="1:9" ht="12.75" customHeight="1" hidden="1">
      <c r="A110" s="6"/>
      <c r="B110" s="27">
        <v>2800</v>
      </c>
      <c r="C110" s="28" t="s">
        <v>73</v>
      </c>
      <c r="D110" s="34">
        <f>'2019-3 СВОД'!D1022</f>
        <v>0</v>
      </c>
      <c r="E110" s="34">
        <f>'2019-3 СВОД'!E1022</f>
        <v>0</v>
      </c>
      <c r="F110" s="34">
        <f>'2019-3 СВОД'!F1022</f>
        <v>0</v>
      </c>
      <c r="G110" s="34">
        <f>'2019-3 СВОД'!G1022</f>
        <v>0</v>
      </c>
      <c r="H110" s="405"/>
      <c r="I110" s="406"/>
    </row>
    <row r="111" spans="1:9" ht="12.75" customHeight="1" hidden="1">
      <c r="A111" s="21"/>
      <c r="B111" s="27">
        <v>3000</v>
      </c>
      <c r="C111" s="28" t="s">
        <v>40</v>
      </c>
      <c r="D111" s="40">
        <f>D112+D126</f>
        <v>0</v>
      </c>
      <c r="E111" s="40">
        <f>E112+E126</f>
        <v>0</v>
      </c>
      <c r="F111" s="40">
        <f>F112+F126</f>
        <v>0</v>
      </c>
      <c r="G111" s="40">
        <f>G112+G126</f>
        <v>0</v>
      </c>
      <c r="H111" s="405"/>
      <c r="I111" s="406"/>
    </row>
    <row r="112" spans="1:9" ht="12.75" customHeight="1" hidden="1">
      <c r="A112" s="21"/>
      <c r="B112" s="27">
        <v>3100</v>
      </c>
      <c r="C112" s="28" t="s">
        <v>41</v>
      </c>
      <c r="D112" s="40">
        <f>D113+D114+D117+D120+D124+D125+D126</f>
        <v>0</v>
      </c>
      <c r="E112" s="40">
        <f>E113+E114+E117+E120+E124+E125+E126</f>
        <v>0</v>
      </c>
      <c r="F112" s="40">
        <f>F113+F114+F117+F120+F124+F125+F126</f>
        <v>0</v>
      </c>
      <c r="G112" s="40">
        <f>G113+G114+G117+G120+G124+G125+G126</f>
        <v>0</v>
      </c>
      <c r="H112" s="405"/>
      <c r="I112" s="406"/>
    </row>
    <row r="113" spans="1:9" ht="12.75" customHeight="1" hidden="1">
      <c r="A113" s="21"/>
      <c r="B113" s="29">
        <v>3110</v>
      </c>
      <c r="C113" s="30" t="s">
        <v>74</v>
      </c>
      <c r="D113" s="34"/>
      <c r="E113" s="34"/>
      <c r="F113" s="34"/>
      <c r="G113" s="34"/>
      <c r="H113" s="405"/>
      <c r="I113" s="406"/>
    </row>
    <row r="114" spans="1:9" ht="12.75" customHeight="1" hidden="1">
      <c r="A114" s="21"/>
      <c r="B114" s="29">
        <v>3120</v>
      </c>
      <c r="C114" s="30" t="s">
        <v>75</v>
      </c>
      <c r="D114" s="40">
        <f>D115+D116</f>
        <v>0</v>
      </c>
      <c r="E114" s="40">
        <f>E115+E116</f>
        <v>0</v>
      </c>
      <c r="F114" s="40">
        <f>F115+F116</f>
        <v>0</v>
      </c>
      <c r="G114" s="40">
        <f>G115+G116</f>
        <v>0</v>
      </c>
      <c r="H114" s="405"/>
      <c r="I114" s="406"/>
    </row>
    <row r="115" spans="1:9" ht="12.75" customHeight="1" hidden="1">
      <c r="A115" s="21"/>
      <c r="B115" s="29">
        <v>3121</v>
      </c>
      <c r="C115" s="30" t="s">
        <v>76</v>
      </c>
      <c r="D115" s="34"/>
      <c r="E115" s="34"/>
      <c r="F115" s="34"/>
      <c r="G115" s="34"/>
      <c r="H115" s="405"/>
      <c r="I115" s="406"/>
    </row>
    <row r="116" spans="1:9" ht="12.75" customHeight="1" hidden="1">
      <c r="A116" s="21"/>
      <c r="B116" s="29">
        <v>3122</v>
      </c>
      <c r="C116" s="30" t="s">
        <v>77</v>
      </c>
      <c r="D116" s="34"/>
      <c r="E116" s="34"/>
      <c r="F116" s="34"/>
      <c r="G116" s="34"/>
      <c r="H116" s="405"/>
      <c r="I116" s="406"/>
    </row>
    <row r="117" spans="1:9" ht="12.75" customHeight="1" hidden="1">
      <c r="A117" s="21"/>
      <c r="B117" s="29">
        <v>3130</v>
      </c>
      <c r="C117" s="30" t="s">
        <v>78</v>
      </c>
      <c r="D117" s="40">
        <f>D118+D119</f>
        <v>0</v>
      </c>
      <c r="E117" s="40">
        <f>E118+E119</f>
        <v>0</v>
      </c>
      <c r="F117" s="40">
        <f>F118+F119</f>
        <v>0</v>
      </c>
      <c r="G117" s="40">
        <f>G118+G119</f>
        <v>0</v>
      </c>
      <c r="H117" s="405"/>
      <c r="I117" s="406"/>
    </row>
    <row r="118" spans="1:9" ht="12.75" customHeight="1" hidden="1">
      <c r="A118" s="21"/>
      <c r="B118" s="29">
        <v>3131</v>
      </c>
      <c r="C118" s="30" t="s">
        <v>79</v>
      </c>
      <c r="D118" s="34"/>
      <c r="E118" s="34"/>
      <c r="F118" s="34"/>
      <c r="G118" s="34"/>
      <c r="H118" s="405"/>
      <c r="I118" s="406"/>
    </row>
    <row r="119" spans="1:9" ht="12.75" customHeight="1" hidden="1">
      <c r="A119" s="21"/>
      <c r="B119" s="29">
        <v>3132</v>
      </c>
      <c r="C119" s="30" t="s">
        <v>80</v>
      </c>
      <c r="D119" s="34"/>
      <c r="E119" s="34"/>
      <c r="F119" s="34"/>
      <c r="G119" s="34"/>
      <c r="H119" s="405"/>
      <c r="I119" s="406"/>
    </row>
    <row r="120" spans="1:9" ht="12.75" customHeight="1" hidden="1">
      <c r="A120" s="21"/>
      <c r="B120" s="29">
        <v>3140</v>
      </c>
      <c r="C120" s="30" t="s">
        <v>81</v>
      </c>
      <c r="D120" s="40">
        <f>D121+D122+D123</f>
        <v>0</v>
      </c>
      <c r="E120" s="40">
        <f>E121+E122+E123</f>
        <v>0</v>
      </c>
      <c r="F120" s="40">
        <f>F121+F122+F123</f>
        <v>0</v>
      </c>
      <c r="G120" s="40">
        <f>G121+G122+G123</f>
        <v>0</v>
      </c>
      <c r="H120" s="405"/>
      <c r="I120" s="406"/>
    </row>
    <row r="121" spans="1:9" ht="12.75" customHeight="1" hidden="1">
      <c r="A121" s="21"/>
      <c r="B121" s="29">
        <v>3141</v>
      </c>
      <c r="C121" s="30" t="s">
        <v>82</v>
      </c>
      <c r="D121" s="34"/>
      <c r="E121" s="34"/>
      <c r="F121" s="34"/>
      <c r="G121" s="34"/>
      <c r="H121" s="405"/>
      <c r="I121" s="406"/>
    </row>
    <row r="122" spans="1:9" ht="12.75" customHeight="1" hidden="1">
      <c r="A122" s="21"/>
      <c r="B122" s="29">
        <v>3142</v>
      </c>
      <c r="C122" s="30" t="s">
        <v>83</v>
      </c>
      <c r="D122" s="34"/>
      <c r="E122" s="34"/>
      <c r="F122" s="34"/>
      <c r="G122" s="34"/>
      <c r="H122" s="405"/>
      <c r="I122" s="406"/>
    </row>
    <row r="123" spans="1:9" ht="12.75" customHeight="1" hidden="1">
      <c r="A123" s="21"/>
      <c r="B123" s="29">
        <v>3143</v>
      </c>
      <c r="C123" s="30" t="s">
        <v>84</v>
      </c>
      <c r="D123" s="34"/>
      <c r="E123" s="34"/>
      <c r="F123" s="34"/>
      <c r="G123" s="34"/>
      <c r="H123" s="405"/>
      <c r="I123" s="406"/>
    </row>
    <row r="124" spans="1:9" ht="12.75" customHeight="1" hidden="1">
      <c r="A124" s="21"/>
      <c r="B124" s="29">
        <v>3150</v>
      </c>
      <c r="C124" s="30" t="s">
        <v>85</v>
      </c>
      <c r="D124" s="34"/>
      <c r="E124" s="34"/>
      <c r="F124" s="34"/>
      <c r="G124" s="34"/>
      <c r="H124" s="405"/>
      <c r="I124" s="406"/>
    </row>
    <row r="125" spans="1:9" ht="12.75" customHeight="1" hidden="1">
      <c r="A125" s="21"/>
      <c r="B125" s="29">
        <v>3160</v>
      </c>
      <c r="C125" s="30" t="s">
        <v>86</v>
      </c>
      <c r="D125" s="34"/>
      <c r="E125" s="34"/>
      <c r="F125" s="34"/>
      <c r="G125" s="34"/>
      <c r="H125" s="405"/>
      <c r="I125" s="406"/>
    </row>
    <row r="126" spans="1:9" ht="12.75" customHeight="1" hidden="1">
      <c r="A126" s="21"/>
      <c r="B126" s="27">
        <v>3200</v>
      </c>
      <c r="C126" s="28" t="s">
        <v>87</v>
      </c>
      <c r="D126" s="40">
        <f>D127+D128+D129+D130</f>
        <v>0</v>
      </c>
      <c r="E126" s="40">
        <f>E127+E128+E129+E130</f>
        <v>0</v>
      </c>
      <c r="F126" s="40">
        <f>F127+F128+F129+F130</f>
        <v>0</v>
      </c>
      <c r="G126" s="40">
        <f>G127+G128+G129+G130</f>
        <v>0</v>
      </c>
      <c r="H126" s="405"/>
      <c r="I126" s="406"/>
    </row>
    <row r="127" spans="1:9" ht="12.75" customHeight="1" hidden="1">
      <c r="A127" s="21"/>
      <c r="B127" s="29">
        <v>3210</v>
      </c>
      <c r="C127" s="30" t="s">
        <v>88</v>
      </c>
      <c r="D127" s="34"/>
      <c r="E127" s="34"/>
      <c r="F127" s="34"/>
      <c r="G127" s="34"/>
      <c r="H127" s="405"/>
      <c r="I127" s="406"/>
    </row>
    <row r="128" spans="1:9" ht="12.75" customHeight="1" hidden="1">
      <c r="A128" s="21"/>
      <c r="B128" s="29">
        <v>3220</v>
      </c>
      <c r="C128" s="30" t="s">
        <v>89</v>
      </c>
      <c r="D128" s="34"/>
      <c r="E128" s="34"/>
      <c r="F128" s="34"/>
      <c r="G128" s="34"/>
      <c r="H128" s="405"/>
      <c r="I128" s="406"/>
    </row>
    <row r="129" spans="1:9" ht="12.75" customHeight="1" hidden="1">
      <c r="A129" s="21"/>
      <c r="B129" s="29">
        <v>3230</v>
      </c>
      <c r="C129" s="30" t="s">
        <v>90</v>
      </c>
      <c r="D129" s="34"/>
      <c r="E129" s="34"/>
      <c r="F129" s="34"/>
      <c r="G129" s="34"/>
      <c r="H129" s="405"/>
      <c r="I129" s="406"/>
    </row>
    <row r="130" spans="1:9" ht="13.5" customHeight="1" hidden="1">
      <c r="A130" s="21"/>
      <c r="B130" s="29">
        <v>3240</v>
      </c>
      <c r="C130" s="30" t="s">
        <v>91</v>
      </c>
      <c r="D130" s="34"/>
      <c r="E130" s="34"/>
      <c r="F130" s="34"/>
      <c r="G130" s="34"/>
      <c r="H130" s="405"/>
      <c r="I130" s="406"/>
    </row>
    <row r="131" spans="1:10" s="19" customFormat="1" ht="31.5" customHeight="1">
      <c r="A131" s="7"/>
      <c r="B131" s="7"/>
      <c r="C131" s="20" t="s">
        <v>3</v>
      </c>
      <c r="D131" s="34">
        <f>D76+D111</f>
        <v>9355.84</v>
      </c>
      <c r="E131" s="34">
        <f>E76+E111</f>
        <v>10813.1</v>
      </c>
      <c r="F131" s="34">
        <f>F76+F111</f>
        <v>11778.9</v>
      </c>
      <c r="G131" s="34">
        <f>G76+G111</f>
        <v>532.8</v>
      </c>
      <c r="H131" s="407"/>
      <c r="I131" s="408"/>
      <c r="J131" s="267">
        <f>G103-J103</f>
        <v>244.99999999999994</v>
      </c>
    </row>
    <row r="132" spans="2:9" s="156" customFormat="1" ht="26.25">
      <c r="B132" s="154">
        <f>'2019-3 СВОД'!B1024</f>
        <v>1115033</v>
      </c>
      <c r="C132" s="154" t="str">
        <f>'2019-3 СВОД'!C1024</f>
        <v>Підпрограма Забезпечення підготовки спортсменів вищих категорій школами вищої спортивної майстерності</v>
      </c>
      <c r="D132" s="123">
        <f>D133+D168</f>
        <v>19633.82</v>
      </c>
      <c r="E132" s="123">
        <f>E133+E168</f>
        <v>24102.1</v>
      </c>
      <c r="F132" s="123">
        <f>F133+F168</f>
        <v>24605.1</v>
      </c>
      <c r="G132" s="123">
        <f>G133+G168</f>
        <v>1464.6</v>
      </c>
      <c r="H132" s="529"/>
      <c r="I132" s="529"/>
    </row>
    <row r="133" spans="1:9" ht="12.75" customHeight="1">
      <c r="A133" s="6"/>
      <c r="B133" s="27">
        <v>2000</v>
      </c>
      <c r="C133" s="28" t="s">
        <v>37</v>
      </c>
      <c r="D133" s="33">
        <f>D134+D139+D156+D159+D163+D167</f>
        <v>19209.72</v>
      </c>
      <c r="E133" s="33">
        <f>E134+E139+E156+E159+E163+E167</f>
        <v>22715.1</v>
      </c>
      <c r="F133" s="33">
        <f>F134+F139+F156+F159+F163+F167</f>
        <v>24605.1</v>
      </c>
      <c r="G133" s="33">
        <f>G134+G139+G156+G159+G163+G167</f>
        <v>574.6</v>
      </c>
      <c r="H133" s="427"/>
      <c r="I133" s="427"/>
    </row>
    <row r="134" spans="1:9" ht="12.75" customHeight="1">
      <c r="A134" s="6"/>
      <c r="B134" s="29">
        <v>2100</v>
      </c>
      <c r="C134" s="30" t="s">
        <v>38</v>
      </c>
      <c r="D134" s="35">
        <f>D135+D138</f>
        <v>7218.08</v>
      </c>
      <c r="E134" s="35">
        <f>E135+E138</f>
        <v>8888.8</v>
      </c>
      <c r="F134" s="35">
        <f>F135+F138</f>
        <v>9749.9</v>
      </c>
      <c r="G134" s="35">
        <f>G135+G138</f>
        <v>174.6</v>
      </c>
      <c r="H134" s="403" t="s">
        <v>597</v>
      </c>
      <c r="I134" s="404"/>
    </row>
    <row r="135" spans="1:9" ht="12.75" customHeight="1">
      <c r="A135" s="6"/>
      <c r="B135" s="29">
        <v>2110</v>
      </c>
      <c r="C135" s="30" t="s">
        <v>39</v>
      </c>
      <c r="D135" s="35">
        <f>D136+D137</f>
        <v>5914.9</v>
      </c>
      <c r="E135" s="35">
        <f>E136+E137</f>
        <v>7285.9</v>
      </c>
      <c r="F135" s="35">
        <f>F136+F137</f>
        <v>7991.7</v>
      </c>
      <c r="G135" s="35">
        <f>G136+G137</f>
        <v>143.1</v>
      </c>
      <c r="H135" s="405"/>
      <c r="I135" s="406"/>
    </row>
    <row r="136" spans="1:9" ht="12.75" customHeight="1">
      <c r="A136" s="6"/>
      <c r="B136" s="29">
        <v>2111</v>
      </c>
      <c r="C136" s="30" t="s">
        <v>42</v>
      </c>
      <c r="D136" s="34">
        <f>'2019-3 СВОД'!D1028</f>
        <v>5914.9</v>
      </c>
      <c r="E136" s="34">
        <f>'2019-3 СВОД'!E1028</f>
        <v>7285.9</v>
      </c>
      <c r="F136" s="34">
        <f>'2019-3 СВОД'!F1028</f>
        <v>7991.7</v>
      </c>
      <c r="G136" s="34">
        <f>'2019-3 СВОД'!G1028</f>
        <v>143.1</v>
      </c>
      <c r="H136" s="405"/>
      <c r="I136" s="406"/>
    </row>
    <row r="137" spans="1:9" ht="12.75" customHeight="1" hidden="1">
      <c r="A137" s="6"/>
      <c r="B137" s="29">
        <v>2112</v>
      </c>
      <c r="C137" s="30" t="s">
        <v>43</v>
      </c>
      <c r="D137" s="34">
        <f>'2019-3 СВОД'!D1029</f>
        <v>0</v>
      </c>
      <c r="E137" s="34">
        <f>'2019-3 СВОД'!E1029</f>
        <v>0</v>
      </c>
      <c r="F137" s="34">
        <f>'2019-3 СВОД'!F1029</f>
        <v>0</v>
      </c>
      <c r="G137" s="34">
        <f>'2019-3 СВОД'!G1029</f>
        <v>0</v>
      </c>
      <c r="H137" s="405"/>
      <c r="I137" s="406"/>
    </row>
    <row r="138" spans="1:9" ht="12.75" customHeight="1">
      <c r="A138" s="6"/>
      <c r="B138" s="29">
        <v>2120</v>
      </c>
      <c r="C138" s="30" t="s">
        <v>44</v>
      </c>
      <c r="D138" s="34">
        <f>'2019-3 СВОД'!D1030</f>
        <v>1303.18</v>
      </c>
      <c r="E138" s="34">
        <f>'2019-3 СВОД'!E1030</f>
        <v>1602.9</v>
      </c>
      <c r="F138" s="34">
        <f>'2019-3 СВОД'!F1030</f>
        <v>1758.2</v>
      </c>
      <c r="G138" s="34">
        <f>'2019-3 СВОД'!G1030</f>
        <v>31.5</v>
      </c>
      <c r="H138" s="407"/>
      <c r="I138" s="408"/>
    </row>
    <row r="139" spans="1:9" ht="12.75" customHeight="1">
      <c r="A139" s="6"/>
      <c r="B139" s="27">
        <v>2200</v>
      </c>
      <c r="C139" s="28" t="s">
        <v>45</v>
      </c>
      <c r="D139" s="33">
        <f>SUM(D140:D146)+D153</f>
        <v>11991.64</v>
      </c>
      <c r="E139" s="33">
        <f>SUM(E140:E146)+E153</f>
        <v>13785.800000000001</v>
      </c>
      <c r="F139" s="33">
        <f>SUM(F140:F146)+F153</f>
        <v>14855.199999999999</v>
      </c>
      <c r="G139" s="33">
        <f>SUM(G140:G146)+G153</f>
        <v>400</v>
      </c>
      <c r="H139" s="427"/>
      <c r="I139" s="427"/>
    </row>
    <row r="140" spans="1:9" ht="12.75">
      <c r="A140" s="6"/>
      <c r="B140" s="29">
        <v>2210</v>
      </c>
      <c r="C140" s="30" t="s">
        <v>46</v>
      </c>
      <c r="D140" s="34">
        <f>'2019-3 СВОД'!D1032</f>
        <v>473.2</v>
      </c>
      <c r="E140" s="34">
        <f>'2019-3 СВОД'!E1032</f>
        <v>470</v>
      </c>
      <c r="F140" s="34">
        <f>'2019-3 СВОД'!F1032</f>
        <v>499.7</v>
      </c>
      <c r="G140" s="34">
        <f>'2019-3 СВОД'!G1032</f>
        <v>0</v>
      </c>
      <c r="H140" s="427"/>
      <c r="I140" s="427"/>
    </row>
    <row r="141" spans="1:9" ht="12.75" customHeight="1">
      <c r="A141" s="6"/>
      <c r="B141" s="29">
        <v>2220</v>
      </c>
      <c r="C141" s="30" t="s">
        <v>47</v>
      </c>
      <c r="D141" s="34">
        <f>'2019-3 СВОД'!D1033</f>
        <v>196.5</v>
      </c>
      <c r="E141" s="34">
        <f>'2019-3 СВОД'!E1033</f>
        <v>196.5</v>
      </c>
      <c r="F141" s="34">
        <f>'2019-3 СВОД'!F1033</f>
        <v>400</v>
      </c>
      <c r="G141" s="34">
        <f>'2019-3 СВОД'!G1033</f>
        <v>0</v>
      </c>
      <c r="H141" s="427"/>
      <c r="I141" s="427"/>
    </row>
    <row r="142" spans="1:9" ht="12.75" customHeight="1" hidden="1">
      <c r="A142" s="6"/>
      <c r="B142" s="29">
        <v>2230</v>
      </c>
      <c r="C142" s="30" t="s">
        <v>48</v>
      </c>
      <c r="D142" s="34">
        <f>'2019-3 СВОД'!D1034</f>
        <v>0</v>
      </c>
      <c r="E142" s="34">
        <f>'2019-3 СВОД'!E1034</f>
        <v>0</v>
      </c>
      <c r="F142" s="34">
        <f>'2019-3 СВОД'!F1034</f>
        <v>0</v>
      </c>
      <c r="G142" s="34">
        <f>'2019-3 СВОД'!G1034</f>
        <v>0</v>
      </c>
      <c r="H142" s="427"/>
      <c r="I142" s="427"/>
    </row>
    <row r="143" spans="1:9" ht="27" customHeight="1">
      <c r="A143" s="6"/>
      <c r="B143" s="29">
        <v>2240</v>
      </c>
      <c r="C143" s="30" t="s">
        <v>49</v>
      </c>
      <c r="D143" s="34">
        <f>'2019-3 СВОД'!D1035</f>
        <v>5306.15</v>
      </c>
      <c r="E143" s="34">
        <f>'2019-3 СВОД'!E1035</f>
        <v>7183.1</v>
      </c>
      <c r="F143" s="34">
        <f>'2019-3 СВОД'!F1035</f>
        <v>7207.5</v>
      </c>
      <c r="G143" s="34">
        <f>'2019-3 СВОД'!G1035</f>
        <v>279</v>
      </c>
      <c r="H143" s="403" t="s">
        <v>596</v>
      </c>
      <c r="I143" s="404"/>
    </row>
    <row r="144" spans="1:9" ht="27" customHeight="1">
      <c r="A144" s="6"/>
      <c r="B144" s="29">
        <v>2250</v>
      </c>
      <c r="C144" s="30" t="s">
        <v>50</v>
      </c>
      <c r="D144" s="34">
        <f>'2019-3 СВОД'!D1036</f>
        <v>5995.5</v>
      </c>
      <c r="E144" s="34">
        <f>'2019-3 СВОД'!E1036</f>
        <v>5887.8</v>
      </c>
      <c r="F144" s="34">
        <f>'2019-3 СВОД'!F1036</f>
        <v>6674.6</v>
      </c>
      <c r="G144" s="34">
        <f>'2019-3 СВОД'!G1036</f>
        <v>121</v>
      </c>
      <c r="H144" s="407"/>
      <c r="I144" s="408"/>
    </row>
    <row r="145" spans="1:9" ht="12.75" customHeight="1" hidden="1">
      <c r="A145" s="6"/>
      <c r="B145" s="29">
        <v>2260</v>
      </c>
      <c r="C145" s="30" t="s">
        <v>51</v>
      </c>
      <c r="D145" s="34">
        <f>'2019-3 СВОД'!D1037</f>
        <v>0</v>
      </c>
      <c r="E145" s="34">
        <f>'2019-3 СВОД'!E1037</f>
        <v>0</v>
      </c>
      <c r="F145" s="34">
        <f>'2019-3 СВОД'!F1037</f>
        <v>0</v>
      </c>
      <c r="G145" s="34">
        <f>'2019-3 СВОД'!G1037</f>
        <v>0</v>
      </c>
      <c r="H145" s="427"/>
      <c r="I145" s="427"/>
    </row>
    <row r="146" spans="1:9" ht="12.75" customHeight="1">
      <c r="A146" s="6"/>
      <c r="B146" s="27">
        <v>2270</v>
      </c>
      <c r="C146" s="28" t="s">
        <v>52</v>
      </c>
      <c r="D146" s="33">
        <f>D147+D148+D149+D150+D151+D152</f>
        <v>15.54</v>
      </c>
      <c r="E146" s="33">
        <f>E147+E148+E149+E150+E151+E152</f>
        <v>44.4</v>
      </c>
      <c r="F146" s="33">
        <f>F147+F148+F149+F150+F151+F152</f>
        <v>53.400000000000006</v>
      </c>
      <c r="G146" s="33">
        <f>G147+G148+G149+G150+G151+G152</f>
        <v>0</v>
      </c>
      <c r="H146" s="427"/>
      <c r="I146" s="427"/>
    </row>
    <row r="147" spans="1:9" ht="12.75" customHeight="1">
      <c r="A147" s="6"/>
      <c r="B147" s="29">
        <v>2271</v>
      </c>
      <c r="C147" s="30" t="s">
        <v>53</v>
      </c>
      <c r="D147" s="34">
        <f>'2019-3 СВОД'!D1039</f>
        <v>5.58</v>
      </c>
      <c r="E147" s="34">
        <f>'2019-3 СВОД'!E1039</f>
        <v>22.2</v>
      </c>
      <c r="F147" s="34">
        <f>'2019-3 СВОД'!F1039</f>
        <v>26.8</v>
      </c>
      <c r="G147" s="34">
        <f>'2019-3 СВОД'!G1039</f>
        <v>0</v>
      </c>
      <c r="H147" s="427"/>
      <c r="I147" s="427"/>
    </row>
    <row r="148" spans="1:9" ht="12.75" customHeight="1">
      <c r="A148" s="6"/>
      <c r="B148" s="29">
        <v>2272</v>
      </c>
      <c r="C148" s="30" t="s">
        <v>54</v>
      </c>
      <c r="D148" s="34">
        <f>'2019-3 СВОД'!D1040</f>
        <v>0.06</v>
      </c>
      <c r="E148" s="34">
        <f>'2019-3 СВОД'!E1040</f>
        <v>0.5</v>
      </c>
      <c r="F148" s="34">
        <f>'2019-3 СВОД'!F1040</f>
        <v>4.8</v>
      </c>
      <c r="G148" s="34">
        <f>'2019-3 СВОД'!G1040</f>
        <v>0</v>
      </c>
      <c r="H148" s="427"/>
      <c r="I148" s="427"/>
    </row>
    <row r="149" spans="1:9" ht="12.75" customHeight="1">
      <c r="A149" s="6"/>
      <c r="B149" s="29">
        <v>2273</v>
      </c>
      <c r="C149" s="30" t="s">
        <v>55</v>
      </c>
      <c r="D149" s="34">
        <f>'2019-3 СВОД'!D1041</f>
        <v>9.9</v>
      </c>
      <c r="E149" s="34">
        <f>'2019-3 СВОД'!E1041</f>
        <v>21.7</v>
      </c>
      <c r="F149" s="34">
        <f>'2019-3 СВОД'!F1041</f>
        <v>21.8</v>
      </c>
      <c r="G149" s="34">
        <f>'2019-3 СВОД'!G1041</f>
        <v>0</v>
      </c>
      <c r="H149" s="427"/>
      <c r="I149" s="427"/>
    </row>
    <row r="150" spans="1:9" ht="12.75" customHeight="1" hidden="1">
      <c r="A150" s="6"/>
      <c r="B150" s="29">
        <v>2274</v>
      </c>
      <c r="C150" s="30" t="s">
        <v>56</v>
      </c>
      <c r="D150" s="34">
        <f>'2019-3 СВОД'!D1042</f>
        <v>0</v>
      </c>
      <c r="E150" s="34">
        <f>'2019-3 СВОД'!E1042</f>
        <v>0</v>
      </c>
      <c r="F150" s="34">
        <f>'2019-3 СВОД'!F1042</f>
        <v>0</v>
      </c>
      <c r="G150" s="34">
        <f>'2019-3 СВОД'!G1042</f>
        <v>0</v>
      </c>
      <c r="H150" s="427"/>
      <c r="I150" s="427"/>
    </row>
    <row r="151" spans="1:9" ht="12.75" customHeight="1" hidden="1">
      <c r="A151" s="6"/>
      <c r="B151" s="29">
        <v>2275</v>
      </c>
      <c r="C151" s="30" t="s">
        <v>57</v>
      </c>
      <c r="D151" s="34">
        <f>'2019-3 СВОД'!D1043</f>
        <v>0</v>
      </c>
      <c r="E151" s="34">
        <f>'2019-3 СВОД'!E1043</f>
        <v>0</v>
      </c>
      <c r="F151" s="34">
        <f>'2019-3 СВОД'!F1043</f>
        <v>0</v>
      </c>
      <c r="G151" s="34">
        <f>'2019-3 СВОД'!G1043</f>
        <v>0</v>
      </c>
      <c r="H151" s="427"/>
      <c r="I151" s="427"/>
    </row>
    <row r="152" spans="1:9" ht="12.75" customHeight="1" hidden="1">
      <c r="A152" s="6"/>
      <c r="B152" s="31">
        <v>2276</v>
      </c>
      <c r="C152" s="32" t="s">
        <v>58</v>
      </c>
      <c r="D152" s="34">
        <f>'2019-3 СВОД'!D1044</f>
        <v>0</v>
      </c>
      <c r="E152" s="34">
        <f>'2019-3 СВОД'!E1044</f>
        <v>0</v>
      </c>
      <c r="F152" s="34">
        <f>'2019-3 СВОД'!F1044</f>
        <v>0</v>
      </c>
      <c r="G152" s="34">
        <f>'2019-3 СВОД'!G1044</f>
        <v>0</v>
      </c>
      <c r="H152" s="427"/>
      <c r="I152" s="427"/>
    </row>
    <row r="153" spans="1:9" ht="12.75">
      <c r="A153" s="6"/>
      <c r="B153" s="27">
        <v>2280</v>
      </c>
      <c r="C153" s="28" t="s">
        <v>59</v>
      </c>
      <c r="D153" s="33">
        <f>D154+D155</f>
        <v>4.75</v>
      </c>
      <c r="E153" s="33">
        <f>E154+E155</f>
        <v>4</v>
      </c>
      <c r="F153" s="33">
        <f>F154+F155</f>
        <v>20</v>
      </c>
      <c r="G153" s="33">
        <f>G154+G155</f>
        <v>0</v>
      </c>
      <c r="H153" s="427"/>
      <c r="I153" s="427"/>
    </row>
    <row r="154" spans="1:9" ht="12.75" hidden="1">
      <c r="A154" s="6"/>
      <c r="B154" s="29">
        <v>2281</v>
      </c>
      <c r="C154" s="30" t="s">
        <v>60</v>
      </c>
      <c r="D154" s="34">
        <f>'2019-3 СВОД'!D1046</f>
        <v>0</v>
      </c>
      <c r="E154" s="34">
        <f>'2019-3 СВОД'!E1046</f>
        <v>0</v>
      </c>
      <c r="F154" s="34">
        <f>'2019-3 СВОД'!F1046</f>
        <v>0</v>
      </c>
      <c r="G154" s="34">
        <f>'2019-3 СВОД'!G1046</f>
        <v>0</v>
      </c>
      <c r="H154" s="427"/>
      <c r="I154" s="427"/>
    </row>
    <row r="155" spans="1:9" ht="12.75">
      <c r="A155" s="6"/>
      <c r="B155" s="29">
        <v>2282</v>
      </c>
      <c r="C155" s="30" t="s">
        <v>61</v>
      </c>
      <c r="D155" s="34">
        <f>'2019-3 СВОД'!D1047</f>
        <v>4.75</v>
      </c>
      <c r="E155" s="34">
        <f>'2019-3 СВОД'!E1047</f>
        <v>4</v>
      </c>
      <c r="F155" s="34">
        <f>'2019-3 СВОД'!F1047</f>
        <v>20</v>
      </c>
      <c r="G155" s="34">
        <f>'2019-3 СВОД'!G1047</f>
        <v>0</v>
      </c>
      <c r="H155" s="427"/>
      <c r="I155" s="427"/>
    </row>
    <row r="156" spans="1:9" ht="12.75" customHeight="1" hidden="1">
      <c r="A156" s="6"/>
      <c r="B156" s="27">
        <v>2400</v>
      </c>
      <c r="C156" s="28" t="s">
        <v>62</v>
      </c>
      <c r="D156" s="34">
        <f>D157+D158</f>
        <v>0</v>
      </c>
      <c r="E156" s="34">
        <f>E157+E158</f>
        <v>0</v>
      </c>
      <c r="F156" s="34">
        <f>F157+F158</f>
        <v>0</v>
      </c>
      <c r="G156" s="34">
        <f>G157+G158</f>
        <v>0</v>
      </c>
      <c r="H156" s="427"/>
      <c r="I156" s="427"/>
    </row>
    <row r="157" spans="1:9" ht="12.75" customHeight="1" hidden="1">
      <c r="A157" s="6"/>
      <c r="B157" s="29">
        <v>2410</v>
      </c>
      <c r="C157" s="30" t="s">
        <v>63</v>
      </c>
      <c r="D157" s="34">
        <f>'2019-3 СВОД'!D1049</f>
        <v>0</v>
      </c>
      <c r="E157" s="34">
        <f>'2019-3 СВОД'!E1049</f>
        <v>0</v>
      </c>
      <c r="F157" s="34">
        <f>'2019-3 СВОД'!F1049</f>
        <v>0</v>
      </c>
      <c r="G157" s="34">
        <f>'2019-3 СВОД'!G1049</f>
        <v>0</v>
      </c>
      <c r="H157" s="427"/>
      <c r="I157" s="427"/>
    </row>
    <row r="158" spans="1:9" ht="12.75" customHeight="1" hidden="1">
      <c r="A158" s="6"/>
      <c r="B158" s="29">
        <v>2420</v>
      </c>
      <c r="C158" s="30" t="s">
        <v>64</v>
      </c>
      <c r="D158" s="34">
        <f>'2019-3 СВОД'!D1050</f>
        <v>0</v>
      </c>
      <c r="E158" s="34">
        <f>'2019-3 СВОД'!E1050</f>
        <v>0</v>
      </c>
      <c r="F158" s="34">
        <f>'2019-3 СВОД'!F1050</f>
        <v>0</v>
      </c>
      <c r="G158" s="34">
        <f>'2019-3 СВОД'!G1050</f>
        <v>0</v>
      </c>
      <c r="H158" s="427"/>
      <c r="I158" s="427"/>
    </row>
    <row r="159" spans="1:9" ht="12.75" customHeight="1" hidden="1">
      <c r="A159" s="6"/>
      <c r="B159" s="27">
        <v>2600</v>
      </c>
      <c r="C159" s="28" t="s">
        <v>65</v>
      </c>
      <c r="D159" s="33">
        <f>D160+D161+D162</f>
        <v>0</v>
      </c>
      <c r="E159" s="33">
        <f>E160+E161+E162</f>
        <v>0</v>
      </c>
      <c r="F159" s="33">
        <f>F160+F161+F162</f>
        <v>0</v>
      </c>
      <c r="G159" s="33">
        <f>G160+G161+G162</f>
        <v>0</v>
      </c>
      <c r="H159" s="427"/>
      <c r="I159" s="427"/>
    </row>
    <row r="160" spans="1:9" ht="12.75" hidden="1">
      <c r="A160" s="6"/>
      <c r="B160" s="29">
        <v>2610</v>
      </c>
      <c r="C160" s="30" t="s">
        <v>66</v>
      </c>
      <c r="D160" s="34">
        <f>'2019-3 СВОД'!D1052</f>
        <v>0</v>
      </c>
      <c r="E160" s="34">
        <f>'2019-3 СВОД'!E1052</f>
        <v>0</v>
      </c>
      <c r="F160" s="34">
        <f>'2019-3 СВОД'!F1052</f>
        <v>0</v>
      </c>
      <c r="G160" s="34">
        <f>'2019-3 СВОД'!G1052</f>
        <v>0</v>
      </c>
      <c r="H160" s="427"/>
      <c r="I160" s="427"/>
    </row>
    <row r="161" spans="1:9" ht="12.75" customHeight="1" hidden="1">
      <c r="A161" s="6"/>
      <c r="B161" s="29">
        <v>2620</v>
      </c>
      <c r="C161" s="30" t="s">
        <v>67</v>
      </c>
      <c r="D161" s="34">
        <f>'2019-3 СВОД'!D1053</f>
        <v>0</v>
      </c>
      <c r="E161" s="34">
        <f>'2019-3 СВОД'!E1053</f>
        <v>0</v>
      </c>
      <c r="F161" s="34">
        <f>'2019-3 СВОД'!F1053</f>
        <v>0</v>
      </c>
      <c r="G161" s="34">
        <f>'2019-3 СВОД'!G1053</f>
        <v>0</v>
      </c>
      <c r="H161" s="427"/>
      <c r="I161" s="427"/>
    </row>
    <row r="162" spans="1:9" ht="12.75" hidden="1">
      <c r="A162" s="6"/>
      <c r="B162" s="29">
        <v>2630</v>
      </c>
      <c r="C162" s="30" t="s">
        <v>68</v>
      </c>
      <c r="D162" s="34">
        <f>'2019-3 СВОД'!D1054</f>
        <v>0</v>
      </c>
      <c r="E162" s="34">
        <f>'2019-3 СВОД'!E1054</f>
        <v>0</v>
      </c>
      <c r="F162" s="34">
        <f>'2019-3 СВОД'!F1054</f>
        <v>0</v>
      </c>
      <c r="G162" s="34">
        <f>'2019-3 СВОД'!G1054</f>
        <v>0</v>
      </c>
      <c r="H162" s="427"/>
      <c r="I162" s="427"/>
    </row>
    <row r="163" spans="1:9" ht="12.75" customHeight="1" hidden="1">
      <c r="A163" s="6"/>
      <c r="B163" s="27">
        <v>2700</v>
      </c>
      <c r="C163" s="28" t="s">
        <v>69</v>
      </c>
      <c r="D163" s="33">
        <f>D164+D165+D166</f>
        <v>0</v>
      </c>
      <c r="E163" s="33">
        <f>E164+E165+E166</f>
        <v>0</v>
      </c>
      <c r="F163" s="33">
        <f>F164+F165+F166</f>
        <v>0</v>
      </c>
      <c r="G163" s="33">
        <f>G164+G165+G166</f>
        <v>0</v>
      </c>
      <c r="H163" s="427"/>
      <c r="I163" s="427"/>
    </row>
    <row r="164" spans="1:9" ht="12.75" customHeight="1" hidden="1">
      <c r="A164" s="6"/>
      <c r="B164" s="29">
        <v>2710</v>
      </c>
      <c r="C164" s="30" t="s">
        <v>70</v>
      </c>
      <c r="D164" s="34">
        <f>'2019-3 СВОД'!D1056</f>
        <v>0</v>
      </c>
      <c r="E164" s="34">
        <f>'2019-3 СВОД'!E1056</f>
        <v>0</v>
      </c>
      <c r="F164" s="34">
        <f>'2019-3 СВОД'!F1056</f>
        <v>0</v>
      </c>
      <c r="G164" s="34">
        <f>'2019-3 СВОД'!G1056</f>
        <v>0</v>
      </c>
      <c r="H164" s="427"/>
      <c r="I164" s="427"/>
    </row>
    <row r="165" spans="1:9" ht="12.75" customHeight="1" hidden="1">
      <c r="A165" s="6"/>
      <c r="B165" s="29">
        <v>2720</v>
      </c>
      <c r="C165" s="30" t="s">
        <v>71</v>
      </c>
      <c r="D165" s="34">
        <f>'2019-3 СВОД'!D1057</f>
        <v>0</v>
      </c>
      <c r="E165" s="34">
        <f>'2019-3 СВОД'!E1057</f>
        <v>0</v>
      </c>
      <c r="F165" s="34">
        <f>'2019-3 СВОД'!F1057</f>
        <v>0</v>
      </c>
      <c r="G165" s="34">
        <f>'2019-3 СВОД'!G1057</f>
        <v>0</v>
      </c>
      <c r="H165" s="427"/>
      <c r="I165" s="427"/>
    </row>
    <row r="166" spans="1:9" ht="12.75" customHeight="1" hidden="1">
      <c r="A166" s="6"/>
      <c r="B166" s="29">
        <v>2730</v>
      </c>
      <c r="C166" s="30" t="s">
        <v>72</v>
      </c>
      <c r="D166" s="34">
        <f>'2019-3 СВОД'!D1058</f>
        <v>0</v>
      </c>
      <c r="E166" s="34">
        <f>'2019-3 СВОД'!E1058</f>
        <v>0</v>
      </c>
      <c r="F166" s="34">
        <f>'2019-3 СВОД'!F1058</f>
        <v>0</v>
      </c>
      <c r="G166" s="34">
        <f>'2019-3 СВОД'!G1058</f>
        <v>0</v>
      </c>
      <c r="H166" s="427"/>
      <c r="I166" s="427"/>
    </row>
    <row r="167" spans="1:9" ht="12.75" customHeight="1">
      <c r="A167" s="6"/>
      <c r="B167" s="27">
        <v>2800</v>
      </c>
      <c r="C167" s="28" t="s">
        <v>73</v>
      </c>
      <c r="D167" s="34">
        <f>'2019-3 СВОД'!D1059</f>
        <v>0</v>
      </c>
      <c r="E167" s="34">
        <f>'2019-3 СВОД'!E1059</f>
        <v>40.5</v>
      </c>
      <c r="F167" s="34">
        <f>'2019-3 СВОД'!F1059</f>
        <v>0</v>
      </c>
      <c r="G167" s="34">
        <f>'2019-3 СВОД'!G1059</f>
        <v>0</v>
      </c>
      <c r="H167" s="427"/>
      <c r="I167" s="427"/>
    </row>
    <row r="168" spans="1:9" ht="12.75">
      <c r="A168" s="21"/>
      <c r="B168" s="27">
        <v>3000</v>
      </c>
      <c r="C168" s="28" t="s">
        <v>40</v>
      </c>
      <c r="D168" s="40">
        <f>D169+D183</f>
        <v>424.1</v>
      </c>
      <c r="E168" s="40">
        <f>E169+E183</f>
        <v>1387</v>
      </c>
      <c r="F168" s="40">
        <f>F169+F183</f>
        <v>0</v>
      </c>
      <c r="G168" s="40">
        <f>G169+G183</f>
        <v>890</v>
      </c>
      <c r="H168" s="403" t="s">
        <v>614</v>
      </c>
      <c r="I168" s="404"/>
    </row>
    <row r="169" spans="1:9" ht="12.75">
      <c r="A169" s="21"/>
      <c r="B169" s="27">
        <v>3100</v>
      </c>
      <c r="C169" s="28" t="s">
        <v>41</v>
      </c>
      <c r="D169" s="40">
        <f>D170+D171+D174+D177+D181+D182+D183</f>
        <v>424.1</v>
      </c>
      <c r="E169" s="40">
        <f>E170+E171+E174+E177+E181+E182+E183</f>
        <v>1387</v>
      </c>
      <c r="F169" s="40">
        <f>F170+F171+F174+F177+F181+F182+F183</f>
        <v>0</v>
      </c>
      <c r="G169" s="40">
        <f>G170+G171+G174+G177+G181+G182+G183</f>
        <v>890</v>
      </c>
      <c r="H169" s="405"/>
      <c r="I169" s="406"/>
    </row>
    <row r="170" spans="1:9" ht="12.75">
      <c r="A170" s="21"/>
      <c r="B170" s="29">
        <v>3110</v>
      </c>
      <c r="C170" s="30" t="s">
        <v>74</v>
      </c>
      <c r="D170" s="34">
        <f>'2019-3 СВОД'!D1062</f>
        <v>424.1</v>
      </c>
      <c r="E170" s="34">
        <f>'2019-3 СВОД'!E1062</f>
        <v>1387</v>
      </c>
      <c r="F170" s="34">
        <f>'2019-3 СВОД'!F1062</f>
        <v>0</v>
      </c>
      <c r="G170" s="34">
        <f>'2019-3 СВОД'!G1062</f>
        <v>890</v>
      </c>
      <c r="H170" s="407"/>
      <c r="I170" s="408"/>
    </row>
    <row r="171" spans="1:9" ht="12.75" hidden="1">
      <c r="A171" s="21"/>
      <c r="B171" s="29">
        <v>3120</v>
      </c>
      <c r="C171" s="30" t="s">
        <v>75</v>
      </c>
      <c r="D171" s="40">
        <f>D172+D173</f>
        <v>0</v>
      </c>
      <c r="E171" s="40">
        <f>E172+E173</f>
        <v>0</v>
      </c>
      <c r="F171" s="40">
        <f>F172+F173</f>
        <v>0</v>
      </c>
      <c r="G171" s="40">
        <f>G172+G173</f>
        <v>0</v>
      </c>
      <c r="H171" s="427"/>
      <c r="I171" s="427"/>
    </row>
    <row r="172" spans="1:9" ht="12.75" hidden="1">
      <c r="A172" s="21"/>
      <c r="B172" s="29">
        <v>3121</v>
      </c>
      <c r="C172" s="30" t="s">
        <v>76</v>
      </c>
      <c r="D172" s="34">
        <f>'2019-3 СВОД'!D1064</f>
        <v>0</v>
      </c>
      <c r="E172" s="34">
        <f>'2019-3 СВОД'!E1064</f>
        <v>0</v>
      </c>
      <c r="F172" s="34">
        <f>'2019-3 СВОД'!F1064</f>
        <v>0</v>
      </c>
      <c r="G172" s="34">
        <f>'2019-3 СВОД'!G1064</f>
        <v>0</v>
      </c>
      <c r="H172" s="427"/>
      <c r="I172" s="427"/>
    </row>
    <row r="173" spans="1:9" ht="12.75" hidden="1">
      <c r="A173" s="21"/>
      <c r="B173" s="29">
        <v>3122</v>
      </c>
      <c r="C173" s="30" t="s">
        <v>77</v>
      </c>
      <c r="D173" s="34">
        <f>'2019-3 СВОД'!D1065</f>
        <v>0</v>
      </c>
      <c r="E173" s="34">
        <f>'2019-3 СВОД'!E1065</f>
        <v>0</v>
      </c>
      <c r="F173" s="34">
        <f>'2019-3 СВОД'!F1065</f>
        <v>0</v>
      </c>
      <c r="G173" s="34">
        <f>'2019-3 СВОД'!G1065</f>
        <v>0</v>
      </c>
      <c r="H173" s="427"/>
      <c r="I173" s="427"/>
    </row>
    <row r="174" spans="1:9" ht="12.75" hidden="1">
      <c r="A174" s="21"/>
      <c r="B174" s="29">
        <v>3130</v>
      </c>
      <c r="C174" s="30" t="s">
        <v>78</v>
      </c>
      <c r="D174" s="40">
        <f>D175+D176</f>
        <v>0</v>
      </c>
      <c r="E174" s="40">
        <f>E175+E176</f>
        <v>0</v>
      </c>
      <c r="F174" s="40">
        <f>F175+F176</f>
        <v>0</v>
      </c>
      <c r="G174" s="40">
        <f>G175+G176</f>
        <v>0</v>
      </c>
      <c r="H174" s="427"/>
      <c r="I174" s="427"/>
    </row>
    <row r="175" spans="1:9" ht="12.75" hidden="1">
      <c r="A175" s="21"/>
      <c r="B175" s="29">
        <v>3131</v>
      </c>
      <c r="C175" s="30" t="s">
        <v>79</v>
      </c>
      <c r="D175" s="34">
        <f>'2019-3 СВОД'!D1067</f>
        <v>0</v>
      </c>
      <c r="E175" s="34">
        <f>'2019-3 СВОД'!E1067</f>
        <v>0</v>
      </c>
      <c r="F175" s="34">
        <f>'2019-3 СВОД'!F1067</f>
        <v>0</v>
      </c>
      <c r="G175" s="34">
        <f>'2019-3 СВОД'!G1067</f>
        <v>0</v>
      </c>
      <c r="H175" s="427"/>
      <c r="I175" s="427"/>
    </row>
    <row r="176" spans="1:9" ht="12.75" hidden="1">
      <c r="A176" s="21"/>
      <c r="B176" s="29">
        <v>3132</v>
      </c>
      <c r="C176" s="30" t="s">
        <v>80</v>
      </c>
      <c r="D176" s="34">
        <f>'2019-3 СВОД'!D1068</f>
        <v>0</v>
      </c>
      <c r="E176" s="34">
        <f>'2019-3 СВОД'!E1068</f>
        <v>0</v>
      </c>
      <c r="F176" s="34">
        <f>'2019-3 СВОД'!F1068</f>
        <v>0</v>
      </c>
      <c r="G176" s="34">
        <f>'2019-3 СВОД'!G1068</f>
        <v>0</v>
      </c>
      <c r="H176" s="427"/>
      <c r="I176" s="427"/>
    </row>
    <row r="177" spans="1:9" ht="12.75" hidden="1">
      <c r="A177" s="21"/>
      <c r="B177" s="29">
        <v>3140</v>
      </c>
      <c r="C177" s="30" t="s">
        <v>81</v>
      </c>
      <c r="D177" s="40">
        <f>D178+D179+D180</f>
        <v>0</v>
      </c>
      <c r="E177" s="40">
        <f>E178+E179+E180</f>
        <v>0</v>
      </c>
      <c r="F177" s="40">
        <f>F178+F179+F180</f>
        <v>0</v>
      </c>
      <c r="G177" s="40">
        <f>G178+G179+G180</f>
        <v>0</v>
      </c>
      <c r="H177" s="427"/>
      <c r="I177" s="427"/>
    </row>
    <row r="178" spans="1:9" ht="12.75" hidden="1">
      <c r="A178" s="21"/>
      <c r="B178" s="29">
        <v>3141</v>
      </c>
      <c r="C178" s="30" t="s">
        <v>82</v>
      </c>
      <c r="D178" s="34">
        <f>'2019-3 СВОД'!D1070</f>
        <v>0</v>
      </c>
      <c r="E178" s="34">
        <f>'2019-3 СВОД'!E1070</f>
        <v>0</v>
      </c>
      <c r="F178" s="34">
        <f>'2019-3 СВОД'!F1070</f>
        <v>0</v>
      </c>
      <c r="G178" s="34">
        <f>'2019-3 СВОД'!G1070</f>
        <v>0</v>
      </c>
      <c r="H178" s="427"/>
      <c r="I178" s="427"/>
    </row>
    <row r="179" spans="1:9" ht="12.75" hidden="1">
      <c r="A179" s="21"/>
      <c r="B179" s="29">
        <v>3142</v>
      </c>
      <c r="C179" s="30" t="s">
        <v>83</v>
      </c>
      <c r="D179" s="34">
        <f>'2019-3 СВОД'!D1071</f>
        <v>0</v>
      </c>
      <c r="E179" s="34">
        <f>'2019-3 СВОД'!E1071</f>
        <v>0</v>
      </c>
      <c r="F179" s="34">
        <f>'2019-3 СВОД'!F1071</f>
        <v>0</v>
      </c>
      <c r="G179" s="34">
        <f>'2019-3 СВОД'!G1071</f>
        <v>0</v>
      </c>
      <c r="H179" s="427"/>
      <c r="I179" s="427"/>
    </row>
    <row r="180" spans="1:9" ht="12.75" hidden="1">
      <c r="A180" s="21"/>
      <c r="B180" s="29">
        <v>3143</v>
      </c>
      <c r="C180" s="30" t="s">
        <v>84</v>
      </c>
      <c r="D180" s="34">
        <f>'2019-3 СВОД'!D1072</f>
        <v>0</v>
      </c>
      <c r="E180" s="34">
        <f>'2019-3 СВОД'!E1072</f>
        <v>0</v>
      </c>
      <c r="F180" s="34">
        <f>'2019-3 СВОД'!F1072</f>
        <v>0</v>
      </c>
      <c r="G180" s="34">
        <f>'2019-3 СВОД'!G1072</f>
        <v>0</v>
      </c>
      <c r="H180" s="427"/>
      <c r="I180" s="427"/>
    </row>
    <row r="181" spans="1:9" ht="12.75" hidden="1">
      <c r="A181" s="21"/>
      <c r="B181" s="29">
        <v>3150</v>
      </c>
      <c r="C181" s="30" t="s">
        <v>85</v>
      </c>
      <c r="D181" s="34">
        <f>'2019-3 СВОД'!D1073</f>
        <v>0</v>
      </c>
      <c r="E181" s="34">
        <f>'2019-3 СВОД'!E1073</f>
        <v>0</v>
      </c>
      <c r="F181" s="34">
        <f>'2019-3 СВОД'!F1073</f>
        <v>0</v>
      </c>
      <c r="G181" s="34">
        <f>'2019-3 СВОД'!G1073</f>
        <v>0</v>
      </c>
      <c r="H181" s="427"/>
      <c r="I181" s="427"/>
    </row>
    <row r="182" spans="1:9" ht="12.75" hidden="1">
      <c r="A182" s="21"/>
      <c r="B182" s="29">
        <v>3160</v>
      </c>
      <c r="C182" s="30" t="s">
        <v>86</v>
      </c>
      <c r="D182" s="34">
        <f>'2019-3 СВОД'!D1074</f>
        <v>0</v>
      </c>
      <c r="E182" s="34">
        <f>'2019-3 СВОД'!E1074</f>
        <v>0</v>
      </c>
      <c r="F182" s="34">
        <f>'2019-3 СВОД'!F1074</f>
        <v>0</v>
      </c>
      <c r="G182" s="34">
        <f>'2019-3 СВОД'!G1074</f>
        <v>0</v>
      </c>
      <c r="H182" s="427"/>
      <c r="I182" s="427"/>
    </row>
    <row r="183" spans="1:9" ht="12.75" hidden="1">
      <c r="A183" s="21"/>
      <c r="B183" s="27">
        <v>3200</v>
      </c>
      <c r="C183" s="28" t="s">
        <v>87</v>
      </c>
      <c r="D183" s="40">
        <f>D184+D185+D186+D187</f>
        <v>0</v>
      </c>
      <c r="E183" s="40">
        <f>E184+E185+E186+E187</f>
        <v>0</v>
      </c>
      <c r="F183" s="40">
        <f>F184+F185+F186+F187</f>
        <v>0</v>
      </c>
      <c r="G183" s="40">
        <f>G184+G185+G186+G187</f>
        <v>0</v>
      </c>
      <c r="H183" s="427"/>
      <c r="I183" s="427"/>
    </row>
    <row r="184" spans="1:9" ht="12.75" hidden="1">
      <c r="A184" s="21"/>
      <c r="B184" s="29">
        <v>3210</v>
      </c>
      <c r="C184" s="30" t="s">
        <v>88</v>
      </c>
      <c r="D184" s="34">
        <f>'2019-3 СВОД'!D1076</f>
        <v>0</v>
      </c>
      <c r="E184" s="34">
        <f>'2019-3 СВОД'!E1076</f>
        <v>0</v>
      </c>
      <c r="F184" s="34">
        <f>'2019-3 СВОД'!F1076</f>
        <v>0</v>
      </c>
      <c r="G184" s="34">
        <f>'2019-3 СВОД'!G1076</f>
        <v>0</v>
      </c>
      <c r="H184" s="427"/>
      <c r="I184" s="427"/>
    </row>
    <row r="185" spans="1:9" ht="12.75" hidden="1">
      <c r="A185" s="21"/>
      <c r="B185" s="29">
        <v>3220</v>
      </c>
      <c r="C185" s="30" t="s">
        <v>89</v>
      </c>
      <c r="D185" s="34">
        <f>'2019-3 СВОД'!D1077</f>
        <v>0</v>
      </c>
      <c r="E185" s="34">
        <f>'2019-3 СВОД'!E1077</f>
        <v>0</v>
      </c>
      <c r="F185" s="34">
        <f>'2019-3 СВОД'!F1077</f>
        <v>0</v>
      </c>
      <c r="G185" s="34">
        <f>'2019-3 СВОД'!G1077</f>
        <v>0</v>
      </c>
      <c r="H185" s="427"/>
      <c r="I185" s="427"/>
    </row>
    <row r="186" spans="1:9" ht="12.75" hidden="1">
      <c r="A186" s="21"/>
      <c r="B186" s="29">
        <v>3230</v>
      </c>
      <c r="C186" s="30" t="s">
        <v>90</v>
      </c>
      <c r="D186" s="34">
        <f>'2019-3 СВОД'!D1078</f>
        <v>0</v>
      </c>
      <c r="E186" s="34">
        <f>'2019-3 СВОД'!E1078</f>
        <v>0</v>
      </c>
      <c r="F186" s="34">
        <f>'2019-3 СВОД'!F1078</f>
        <v>0</v>
      </c>
      <c r="G186" s="34">
        <f>'2019-3 СВОД'!G1078</f>
        <v>0</v>
      </c>
      <c r="H186" s="427"/>
      <c r="I186" s="427"/>
    </row>
    <row r="187" spans="1:9" ht="13.5" customHeight="1" hidden="1">
      <c r="A187" s="21"/>
      <c r="B187" s="29">
        <v>3240</v>
      </c>
      <c r="C187" s="30" t="s">
        <v>91</v>
      </c>
      <c r="D187" s="34">
        <f>'2019-3 СВОД'!D1079</f>
        <v>0</v>
      </c>
      <c r="E187" s="34">
        <f>'2019-3 СВОД'!E1079</f>
        <v>0</v>
      </c>
      <c r="F187" s="34">
        <f>'2019-3 СВОД'!F1079</f>
        <v>0</v>
      </c>
      <c r="G187" s="34">
        <f>'2019-3 СВОД'!G1079</f>
        <v>0</v>
      </c>
      <c r="H187" s="427"/>
      <c r="I187" s="427"/>
    </row>
    <row r="188" spans="1:9" s="19" customFormat="1" ht="13.5" customHeight="1">
      <c r="A188" s="7"/>
      <c r="B188" s="7"/>
      <c r="C188" s="20" t="s">
        <v>3</v>
      </c>
      <c r="D188" s="34">
        <f>D133+D168</f>
        <v>19633.82</v>
      </c>
      <c r="E188" s="34">
        <f>E133+E168</f>
        <v>24102.1</v>
      </c>
      <c r="F188" s="34">
        <f>F133+F168</f>
        <v>24605.1</v>
      </c>
      <c r="G188" s="34">
        <f>G133+G168</f>
        <v>1464.6</v>
      </c>
      <c r="H188" s="427"/>
      <c r="I188" s="427"/>
    </row>
    <row r="189" spans="1:8" ht="15">
      <c r="A189" s="115" t="s">
        <v>209</v>
      </c>
      <c r="B189" s="115" t="s">
        <v>209</v>
      </c>
      <c r="C189" s="115"/>
      <c r="D189" s="208"/>
      <c r="E189" s="115"/>
      <c r="F189" s="115"/>
      <c r="G189" s="115"/>
      <c r="H189" s="207"/>
    </row>
    <row r="190" spans="1:9" ht="15" customHeight="1">
      <c r="A190" s="444" t="s">
        <v>25</v>
      </c>
      <c r="B190" s="444"/>
      <c r="C190" s="444"/>
      <c r="D190" s="444"/>
      <c r="E190" s="444"/>
      <c r="F190" s="444"/>
      <c r="G190" s="444"/>
      <c r="H190" s="444"/>
      <c r="I190" s="444"/>
    </row>
    <row r="191" spans="1:9" ht="30" customHeight="1">
      <c r="A191" s="14" t="s">
        <v>20</v>
      </c>
      <c r="B191" s="8" t="s">
        <v>0</v>
      </c>
      <c r="C191" s="14" t="s">
        <v>1</v>
      </c>
      <c r="D191" s="14" t="s">
        <v>14</v>
      </c>
      <c r="E191" s="441" t="s">
        <v>15</v>
      </c>
      <c r="F191" s="441"/>
      <c r="G191" s="441"/>
      <c r="H191" s="14" t="s">
        <v>214</v>
      </c>
      <c r="I191" s="14" t="s">
        <v>215</v>
      </c>
    </row>
    <row r="192" spans="1:9" ht="13.5" thickBot="1">
      <c r="A192" s="17">
        <v>1</v>
      </c>
      <c r="B192" s="17">
        <v>1</v>
      </c>
      <c r="C192" s="38">
        <v>2</v>
      </c>
      <c r="D192" s="38">
        <v>3</v>
      </c>
      <c r="E192" s="427">
        <v>4</v>
      </c>
      <c r="F192" s="427"/>
      <c r="G192" s="427"/>
      <c r="H192" s="38">
        <v>5</v>
      </c>
      <c r="I192" s="38">
        <v>6</v>
      </c>
    </row>
    <row r="193" spans="1:9" s="55" customFormat="1" ht="13.5" thickTop="1">
      <c r="A193" s="54"/>
      <c r="B193" s="167">
        <f>B17</f>
        <v>1115030</v>
      </c>
      <c r="C193" s="169" t="str">
        <f>C17</f>
        <v>Програма Розвиток дитячо-юнацького та резервного спорту</v>
      </c>
      <c r="D193" s="180"/>
      <c r="E193" s="451"/>
      <c r="F193" s="451"/>
      <c r="G193" s="451"/>
      <c r="H193" s="180"/>
      <c r="I193" s="180"/>
    </row>
    <row r="194" spans="1:9" s="153" customFormat="1" ht="12.75">
      <c r="A194" s="68"/>
      <c r="B194" s="69">
        <f>B18</f>
        <v>1115031</v>
      </c>
      <c r="C194" s="504" t="str">
        <f>C18</f>
        <v>Підпрограма Утримання та навчально-тренувальна робота комунальних дитячо-юнацьких спортивних шкіл</v>
      </c>
      <c r="D194" s="505"/>
      <c r="E194" s="505"/>
      <c r="F194" s="505"/>
      <c r="G194" s="505"/>
      <c r="H194" s="505"/>
      <c r="I194" s="506"/>
    </row>
    <row r="195" spans="1:9" s="153" customFormat="1" ht="12.75">
      <c r="A195" s="68"/>
      <c r="B195" s="69"/>
      <c r="C195" s="455" t="s">
        <v>388</v>
      </c>
      <c r="D195" s="456"/>
      <c r="E195" s="456"/>
      <c r="F195" s="456"/>
      <c r="G195" s="456"/>
      <c r="H195" s="456"/>
      <c r="I195" s="457"/>
    </row>
    <row r="196" spans="1:9" s="78" customFormat="1" ht="12.75">
      <c r="A196" s="175"/>
      <c r="B196" s="189"/>
      <c r="C196" s="201" t="s">
        <v>327</v>
      </c>
      <c r="D196" s="196" t="s">
        <v>125</v>
      </c>
      <c r="E196" s="513" t="s">
        <v>125</v>
      </c>
      <c r="F196" s="514"/>
      <c r="G196" s="515"/>
      <c r="H196" s="195"/>
      <c r="I196" s="195"/>
    </row>
    <row r="197" spans="1:9" s="78" customFormat="1" ht="26.25">
      <c r="A197" s="175"/>
      <c r="B197" s="189"/>
      <c r="C197" s="201" t="s">
        <v>389</v>
      </c>
      <c r="D197" s="196" t="s">
        <v>124</v>
      </c>
      <c r="E197" s="513" t="s">
        <v>128</v>
      </c>
      <c r="F197" s="514"/>
      <c r="G197" s="515"/>
      <c r="H197" s="195">
        <f>H199+H200+H201</f>
        <v>9</v>
      </c>
      <c r="I197" s="195">
        <f>I199+I200+I201</f>
        <v>9</v>
      </c>
    </row>
    <row r="198" spans="1:9" s="78" customFormat="1" ht="12.75">
      <c r="A198" s="175"/>
      <c r="B198" s="189"/>
      <c r="C198" s="201" t="s">
        <v>376</v>
      </c>
      <c r="D198" s="196" t="s">
        <v>125</v>
      </c>
      <c r="E198" s="513" t="s">
        <v>125</v>
      </c>
      <c r="F198" s="514"/>
      <c r="G198" s="515"/>
      <c r="H198" s="195"/>
      <c r="I198" s="195"/>
    </row>
    <row r="199" spans="1:9" s="78" customFormat="1" ht="12.75">
      <c r="A199" s="175"/>
      <c r="B199" s="189"/>
      <c r="C199" s="201" t="s">
        <v>390</v>
      </c>
      <c r="D199" s="196" t="s">
        <v>124</v>
      </c>
      <c r="E199" s="513" t="s">
        <v>128</v>
      </c>
      <c r="F199" s="514"/>
      <c r="G199" s="515"/>
      <c r="H199" s="196">
        <v>1</v>
      </c>
      <c r="I199" s="196">
        <v>1</v>
      </c>
    </row>
    <row r="200" spans="1:9" s="78" customFormat="1" ht="12.75">
      <c r="A200" s="175"/>
      <c r="B200" s="189"/>
      <c r="C200" s="201" t="s">
        <v>391</v>
      </c>
      <c r="D200" s="196" t="s">
        <v>124</v>
      </c>
      <c r="E200" s="513" t="s">
        <v>128</v>
      </c>
      <c r="F200" s="514"/>
      <c r="G200" s="515"/>
      <c r="H200" s="196">
        <v>3</v>
      </c>
      <c r="I200" s="196">
        <v>3</v>
      </c>
    </row>
    <row r="201" spans="1:9" s="78" customFormat="1" ht="12.75">
      <c r="A201" s="175"/>
      <c r="B201" s="189"/>
      <c r="C201" s="201" t="s">
        <v>392</v>
      </c>
      <c r="D201" s="196" t="s">
        <v>124</v>
      </c>
      <c r="E201" s="513" t="s">
        <v>128</v>
      </c>
      <c r="F201" s="514"/>
      <c r="G201" s="515"/>
      <c r="H201" s="196">
        <v>5</v>
      </c>
      <c r="I201" s="196">
        <v>5</v>
      </c>
    </row>
    <row r="202" spans="1:12" s="78" customFormat="1" ht="26.25">
      <c r="A202" s="175"/>
      <c r="B202" s="189"/>
      <c r="C202" s="201" t="s">
        <v>393</v>
      </c>
      <c r="D202" s="196" t="s">
        <v>344</v>
      </c>
      <c r="E202" s="513" t="s">
        <v>128</v>
      </c>
      <c r="F202" s="514"/>
      <c r="G202" s="515"/>
      <c r="H202" s="195">
        <f>H204+H205+H206</f>
        <v>32985.8</v>
      </c>
      <c r="I202" s="195">
        <f>I204+I205+I206</f>
        <v>34052.8</v>
      </c>
      <c r="J202" s="78">
        <f>I202-H202</f>
        <v>1067</v>
      </c>
      <c r="K202" s="78">
        <f>I202+I207</f>
        <v>38512.4</v>
      </c>
      <c r="L202" s="78">
        <f>K202-H202-H207</f>
        <v>1466.2999999999984</v>
      </c>
    </row>
    <row r="203" spans="1:9" s="78" customFormat="1" ht="12.75">
      <c r="A203" s="175"/>
      <c r="B203" s="189"/>
      <c r="C203" s="201" t="s">
        <v>376</v>
      </c>
      <c r="D203" s="196" t="s">
        <v>125</v>
      </c>
      <c r="E203" s="513" t="s">
        <v>125</v>
      </c>
      <c r="F203" s="514"/>
      <c r="G203" s="515"/>
      <c r="H203" s="195"/>
      <c r="I203" s="195"/>
    </row>
    <row r="204" spans="1:10" s="78" customFormat="1" ht="12.75">
      <c r="A204" s="175"/>
      <c r="B204" s="189"/>
      <c r="C204" s="201" t="s">
        <v>394</v>
      </c>
      <c r="D204" s="196" t="s">
        <v>344</v>
      </c>
      <c r="E204" s="513" t="s">
        <v>128</v>
      </c>
      <c r="F204" s="514"/>
      <c r="G204" s="515"/>
      <c r="H204" s="196">
        <f>6662.5-H209+0.1</f>
        <v>5426</v>
      </c>
      <c r="I204" s="196">
        <f>H204+71.8</f>
        <v>5497.8</v>
      </c>
      <c r="J204" s="78">
        <f aca="true" t="shared" si="0" ref="J204:J211">I204-H204</f>
        <v>71.80000000000018</v>
      </c>
    </row>
    <row r="205" spans="1:10" s="78" customFormat="1" ht="12.75">
      <c r="A205" s="175"/>
      <c r="B205" s="189"/>
      <c r="C205" s="201" t="s">
        <v>391</v>
      </c>
      <c r="D205" s="196" t="s">
        <v>344</v>
      </c>
      <c r="E205" s="513" t="s">
        <v>128</v>
      </c>
      <c r="F205" s="514"/>
      <c r="G205" s="515"/>
      <c r="H205" s="196">
        <f>9935.7-H210</f>
        <v>9132.800000000001</v>
      </c>
      <c r="I205" s="196">
        <f>H205+100+86.7</f>
        <v>9319.500000000002</v>
      </c>
      <c r="J205" s="78">
        <f t="shared" si="0"/>
        <v>186.70000000000073</v>
      </c>
    </row>
    <row r="206" spans="1:12" s="78" customFormat="1" ht="12.75">
      <c r="A206" s="175"/>
      <c r="B206" s="189"/>
      <c r="C206" s="201" t="s">
        <v>392</v>
      </c>
      <c r="D206" s="196" t="s">
        <v>344</v>
      </c>
      <c r="E206" s="513" t="s">
        <v>128</v>
      </c>
      <c r="F206" s="514"/>
      <c r="G206" s="515"/>
      <c r="H206" s="196">
        <f>20447.8-H211</f>
        <v>18427</v>
      </c>
      <c r="I206" s="196">
        <f>H206+433.4+375.1</f>
        <v>19235.5</v>
      </c>
      <c r="J206" s="78">
        <f t="shared" si="0"/>
        <v>808.5</v>
      </c>
      <c r="L206" s="237">
        <f>K207+J207+J202</f>
        <v>1466.3000000000002</v>
      </c>
    </row>
    <row r="207" spans="1:11" s="78" customFormat="1" ht="26.25">
      <c r="A207" s="175"/>
      <c r="B207" s="189"/>
      <c r="C207" s="201" t="s">
        <v>395</v>
      </c>
      <c r="D207" s="196" t="s">
        <v>344</v>
      </c>
      <c r="E207" s="513" t="s">
        <v>128</v>
      </c>
      <c r="F207" s="514"/>
      <c r="G207" s="515"/>
      <c r="H207" s="195">
        <f>H209+H210+H211</f>
        <v>4060.3</v>
      </c>
      <c r="I207" s="195">
        <f>I209+I210+I211</f>
        <v>4459.6</v>
      </c>
      <c r="J207" s="78">
        <f t="shared" si="0"/>
        <v>399.3000000000002</v>
      </c>
      <c r="K207" s="237">
        <f>J257</f>
        <v>0</v>
      </c>
    </row>
    <row r="208" spans="1:10" s="78" customFormat="1" ht="12.75">
      <c r="A208" s="175"/>
      <c r="B208" s="189"/>
      <c r="C208" s="201" t="s">
        <v>376</v>
      </c>
      <c r="D208" s="196" t="s">
        <v>125</v>
      </c>
      <c r="E208" s="513" t="s">
        <v>125</v>
      </c>
      <c r="F208" s="514"/>
      <c r="G208" s="515"/>
      <c r="H208" s="195"/>
      <c r="I208" s="195"/>
      <c r="J208" s="78">
        <f t="shared" si="0"/>
        <v>0</v>
      </c>
    </row>
    <row r="209" spans="1:10" s="78" customFormat="1" ht="12.75">
      <c r="A209" s="175"/>
      <c r="B209" s="189"/>
      <c r="C209" s="201" t="s">
        <v>394</v>
      </c>
      <c r="D209" s="196" t="s">
        <v>344</v>
      </c>
      <c r="E209" s="513" t="s">
        <v>128</v>
      </c>
      <c r="F209" s="514"/>
      <c r="G209" s="515"/>
      <c r="H209" s="196">
        <v>1236.6</v>
      </c>
      <c r="I209" s="196">
        <f>H209+200</f>
        <v>1436.6</v>
      </c>
      <c r="J209" s="78">
        <f t="shared" si="0"/>
        <v>200</v>
      </c>
    </row>
    <row r="210" spans="1:10" s="78" customFormat="1" ht="12.75">
      <c r="A210" s="175"/>
      <c r="B210" s="189"/>
      <c r="C210" s="201" t="s">
        <v>391</v>
      </c>
      <c r="D210" s="196" t="s">
        <v>344</v>
      </c>
      <c r="E210" s="513" t="s">
        <v>128</v>
      </c>
      <c r="F210" s="514"/>
      <c r="G210" s="515"/>
      <c r="H210" s="196">
        <f>393.9+288.6+120.4</f>
        <v>802.9</v>
      </c>
      <c r="I210" s="196">
        <f>H210+150+4.9</f>
        <v>957.8</v>
      </c>
      <c r="J210" s="78">
        <f t="shared" si="0"/>
        <v>154.89999999999998</v>
      </c>
    </row>
    <row r="211" spans="1:10" s="78" customFormat="1" ht="12.75">
      <c r="A211" s="175"/>
      <c r="B211" s="189"/>
      <c r="C211" s="201" t="s">
        <v>392</v>
      </c>
      <c r="D211" s="196" t="s">
        <v>344</v>
      </c>
      <c r="E211" s="526" t="s">
        <v>128</v>
      </c>
      <c r="F211" s="527"/>
      <c r="G211" s="528"/>
      <c r="H211" s="196">
        <f>252.7+517.6+484.7+200.4+565.4</f>
        <v>2020.8000000000002</v>
      </c>
      <c r="I211" s="196">
        <f>H211+44.4</f>
        <v>2065.2000000000003</v>
      </c>
      <c r="J211" s="78">
        <f t="shared" si="0"/>
        <v>44.40000000000009</v>
      </c>
    </row>
    <row r="212" spans="1:12" s="78" customFormat="1" ht="26.25">
      <c r="A212" s="175"/>
      <c r="B212" s="189"/>
      <c r="C212" s="201" t="s">
        <v>396</v>
      </c>
      <c r="D212" s="196" t="s">
        <v>315</v>
      </c>
      <c r="E212" s="525" t="s">
        <v>130</v>
      </c>
      <c r="F212" s="525"/>
      <c r="G212" s="525"/>
      <c r="H212" s="204">
        <f>H214+H215+H216</f>
        <v>319</v>
      </c>
      <c r="I212" s="204">
        <f>I214+I215+I216</f>
        <v>319</v>
      </c>
      <c r="L212" s="237">
        <f>L206+I257-J257</f>
        <v>2544.5</v>
      </c>
    </row>
    <row r="213" spans="1:9" s="78" customFormat="1" ht="12.75">
      <c r="A213" s="175"/>
      <c r="B213" s="189"/>
      <c r="C213" s="201" t="s">
        <v>376</v>
      </c>
      <c r="D213" s="196" t="s">
        <v>125</v>
      </c>
      <c r="E213" s="525" t="s">
        <v>125</v>
      </c>
      <c r="F213" s="525"/>
      <c r="G213" s="525"/>
      <c r="H213" s="204"/>
      <c r="I213" s="204"/>
    </row>
    <row r="214" spans="1:9" s="78" customFormat="1" ht="12.75">
      <c r="A214" s="175"/>
      <c r="B214" s="189"/>
      <c r="C214" s="201" t="s">
        <v>390</v>
      </c>
      <c r="D214" s="196" t="s">
        <v>315</v>
      </c>
      <c r="E214" s="525" t="s">
        <v>130</v>
      </c>
      <c r="F214" s="525"/>
      <c r="G214" s="525"/>
      <c r="H214" s="258">
        <v>59</v>
      </c>
      <c r="I214" s="258">
        <f>H214</f>
        <v>59</v>
      </c>
    </row>
    <row r="215" spans="1:9" s="78" customFormat="1" ht="12.75">
      <c r="A215" s="175"/>
      <c r="B215" s="189"/>
      <c r="C215" s="201" t="s">
        <v>391</v>
      </c>
      <c r="D215" s="196" t="s">
        <v>315</v>
      </c>
      <c r="E215" s="525" t="s">
        <v>130</v>
      </c>
      <c r="F215" s="525"/>
      <c r="G215" s="525"/>
      <c r="H215" s="258">
        <v>93</v>
      </c>
      <c r="I215" s="258">
        <f>H215</f>
        <v>93</v>
      </c>
    </row>
    <row r="216" spans="1:9" s="78" customFormat="1" ht="12.75">
      <c r="A216" s="175"/>
      <c r="B216" s="189"/>
      <c r="C216" s="201" t="s">
        <v>397</v>
      </c>
      <c r="D216" s="196" t="s">
        <v>315</v>
      </c>
      <c r="E216" s="525" t="s">
        <v>130</v>
      </c>
      <c r="F216" s="525"/>
      <c r="G216" s="525"/>
      <c r="H216" s="258">
        <v>167</v>
      </c>
      <c r="I216" s="258">
        <f>H216</f>
        <v>167</v>
      </c>
    </row>
    <row r="217" spans="1:9" s="78" customFormat="1" ht="12.75">
      <c r="A217" s="175"/>
      <c r="B217" s="189"/>
      <c r="C217" s="201" t="s">
        <v>398</v>
      </c>
      <c r="D217" s="196" t="s">
        <v>315</v>
      </c>
      <c r="E217" s="525" t="s">
        <v>130</v>
      </c>
      <c r="F217" s="525"/>
      <c r="G217" s="525"/>
      <c r="H217" s="204">
        <f>H219+H220+H221</f>
        <v>234</v>
      </c>
      <c r="I217" s="204">
        <f>I219+I220+I221</f>
        <v>234</v>
      </c>
    </row>
    <row r="218" spans="1:9" s="78" customFormat="1" ht="12.75">
      <c r="A218" s="175"/>
      <c r="B218" s="189"/>
      <c r="C218" s="201" t="s">
        <v>376</v>
      </c>
      <c r="D218" s="196" t="s">
        <v>125</v>
      </c>
      <c r="E218" s="513" t="s">
        <v>125</v>
      </c>
      <c r="F218" s="514"/>
      <c r="G218" s="515"/>
      <c r="H218" s="204"/>
      <c r="I218" s="204"/>
    </row>
    <row r="219" spans="1:9" s="78" customFormat="1" ht="12.75">
      <c r="A219" s="175"/>
      <c r="B219" s="189"/>
      <c r="C219" s="201" t="s">
        <v>390</v>
      </c>
      <c r="D219" s="196" t="s">
        <v>315</v>
      </c>
      <c r="E219" s="513" t="s">
        <v>130</v>
      </c>
      <c r="F219" s="514"/>
      <c r="G219" s="515"/>
      <c r="H219" s="258">
        <v>49</v>
      </c>
      <c r="I219" s="258">
        <f>H219</f>
        <v>49</v>
      </c>
    </row>
    <row r="220" spans="1:9" s="78" customFormat="1" ht="12.75">
      <c r="A220" s="175"/>
      <c r="B220" s="189"/>
      <c r="C220" s="201" t="s">
        <v>391</v>
      </c>
      <c r="D220" s="196" t="s">
        <v>315</v>
      </c>
      <c r="E220" s="513" t="s">
        <v>130</v>
      </c>
      <c r="F220" s="514"/>
      <c r="G220" s="515"/>
      <c r="H220" s="258">
        <v>69</v>
      </c>
      <c r="I220" s="258">
        <f>H220</f>
        <v>69</v>
      </c>
    </row>
    <row r="221" spans="1:9" s="78" customFormat="1" ht="12.75">
      <c r="A221" s="175"/>
      <c r="B221" s="189"/>
      <c r="C221" s="201" t="s">
        <v>392</v>
      </c>
      <c r="D221" s="196" t="s">
        <v>315</v>
      </c>
      <c r="E221" s="513" t="s">
        <v>130</v>
      </c>
      <c r="F221" s="514"/>
      <c r="G221" s="515"/>
      <c r="H221" s="258">
        <v>116</v>
      </c>
      <c r="I221" s="258">
        <f>H221</f>
        <v>116</v>
      </c>
    </row>
    <row r="222" spans="1:9" s="78" customFormat="1" ht="12.75">
      <c r="A222" s="175"/>
      <c r="B222" s="189"/>
      <c r="C222" s="201" t="s">
        <v>329</v>
      </c>
      <c r="D222" s="196" t="s">
        <v>125</v>
      </c>
      <c r="E222" s="513" t="s">
        <v>125</v>
      </c>
      <c r="F222" s="514"/>
      <c r="G222" s="515"/>
      <c r="H222" s="195"/>
      <c r="I222" s="195"/>
    </row>
    <row r="223" spans="1:9" s="78" customFormat="1" ht="26.25">
      <c r="A223" s="175"/>
      <c r="B223" s="189"/>
      <c r="C223" s="201" t="s">
        <v>399</v>
      </c>
      <c r="D223" s="196" t="s">
        <v>315</v>
      </c>
      <c r="E223" s="513" t="s">
        <v>270</v>
      </c>
      <c r="F223" s="514"/>
      <c r="G223" s="515"/>
      <c r="H223" s="195">
        <f>H225+H226+H227</f>
        <v>5330</v>
      </c>
      <c r="I223" s="195">
        <f>I225+I226+I227</f>
        <v>5599</v>
      </c>
    </row>
    <row r="224" spans="1:9" s="78" customFormat="1" ht="12.75">
      <c r="A224" s="175"/>
      <c r="B224" s="189"/>
      <c r="C224" s="201" t="s">
        <v>376</v>
      </c>
      <c r="D224" s="196" t="s">
        <v>125</v>
      </c>
      <c r="E224" s="513" t="s">
        <v>125</v>
      </c>
      <c r="F224" s="514"/>
      <c r="G224" s="515"/>
      <c r="H224" s="195"/>
      <c r="I224" s="195"/>
    </row>
    <row r="225" spans="1:9" s="78" customFormat="1" ht="12.75">
      <c r="A225" s="175"/>
      <c r="B225" s="189"/>
      <c r="C225" s="201" t="s">
        <v>390</v>
      </c>
      <c r="D225" s="196" t="s">
        <v>315</v>
      </c>
      <c r="E225" s="513" t="s">
        <v>270</v>
      </c>
      <c r="F225" s="514"/>
      <c r="G225" s="515"/>
      <c r="H225" s="196">
        <f>776+21</f>
        <v>797</v>
      </c>
      <c r="I225" s="196">
        <f>H225+50</f>
        <v>847</v>
      </c>
    </row>
    <row r="226" spans="1:9" s="78" customFormat="1" ht="12.75">
      <c r="A226" s="175"/>
      <c r="B226" s="189"/>
      <c r="C226" s="201" t="s">
        <v>391</v>
      </c>
      <c r="D226" s="196" t="s">
        <v>315</v>
      </c>
      <c r="E226" s="513" t="s">
        <v>270</v>
      </c>
      <c r="F226" s="514"/>
      <c r="G226" s="515"/>
      <c r="H226" s="196">
        <f>2034+31</f>
        <v>2065</v>
      </c>
      <c r="I226" s="196">
        <f>H226+100</f>
        <v>2165</v>
      </c>
    </row>
    <row r="227" spans="1:9" s="78" customFormat="1" ht="12.75">
      <c r="A227" s="175"/>
      <c r="B227" s="189"/>
      <c r="C227" s="201" t="s">
        <v>392</v>
      </c>
      <c r="D227" s="196" t="s">
        <v>315</v>
      </c>
      <c r="E227" s="513" t="s">
        <v>270</v>
      </c>
      <c r="F227" s="514"/>
      <c r="G227" s="515"/>
      <c r="H227" s="196">
        <f>2423+45</f>
        <v>2468</v>
      </c>
      <c r="I227" s="196">
        <f>H227+119</f>
        <v>2587</v>
      </c>
    </row>
    <row r="228" spans="1:9" s="78" customFormat="1" ht="12.75">
      <c r="A228" s="175"/>
      <c r="B228" s="189"/>
      <c r="C228" s="201" t="s">
        <v>331</v>
      </c>
      <c r="D228" s="196" t="s">
        <v>125</v>
      </c>
      <c r="E228" s="513" t="s">
        <v>125</v>
      </c>
      <c r="F228" s="514"/>
      <c r="G228" s="515"/>
      <c r="H228" s="195"/>
      <c r="I228" s="195"/>
    </row>
    <row r="229" spans="1:9" s="78" customFormat="1" ht="26.25">
      <c r="A229" s="175"/>
      <c r="B229" s="189"/>
      <c r="C229" s="201" t="s">
        <v>400</v>
      </c>
      <c r="D229" s="196" t="s">
        <v>145</v>
      </c>
      <c r="E229" s="513" t="s">
        <v>146</v>
      </c>
      <c r="F229" s="514"/>
      <c r="G229" s="515"/>
      <c r="H229" s="204">
        <f>H202/H212*1000</f>
        <v>103403.7617554859</v>
      </c>
      <c r="I229" s="204">
        <f>H229</f>
        <v>103403.7617554859</v>
      </c>
    </row>
    <row r="230" spans="1:9" s="78" customFormat="1" ht="12.75">
      <c r="A230" s="175"/>
      <c r="B230" s="189"/>
      <c r="C230" s="201" t="s">
        <v>376</v>
      </c>
      <c r="D230" s="196" t="s">
        <v>125</v>
      </c>
      <c r="E230" s="513" t="s">
        <v>125</v>
      </c>
      <c r="F230" s="514"/>
      <c r="G230" s="515"/>
      <c r="H230" s="204"/>
      <c r="I230" s="195"/>
    </row>
    <row r="231" spans="1:9" s="78" customFormat="1" ht="12.75">
      <c r="A231" s="175"/>
      <c r="B231" s="189"/>
      <c r="C231" s="201" t="s">
        <v>390</v>
      </c>
      <c r="D231" s="196" t="s">
        <v>145</v>
      </c>
      <c r="E231" s="513" t="s">
        <v>146</v>
      </c>
      <c r="F231" s="514"/>
      <c r="G231" s="515"/>
      <c r="H231" s="258">
        <f>H204/H214*1000</f>
        <v>91966.10169491525</v>
      </c>
      <c r="I231" s="258">
        <f>H231</f>
        <v>91966.10169491525</v>
      </c>
    </row>
    <row r="232" spans="1:9" s="78" customFormat="1" ht="12.75">
      <c r="A232" s="175"/>
      <c r="B232" s="189"/>
      <c r="C232" s="201" t="s">
        <v>391</v>
      </c>
      <c r="D232" s="196" t="s">
        <v>145</v>
      </c>
      <c r="E232" s="513" t="s">
        <v>146</v>
      </c>
      <c r="F232" s="514"/>
      <c r="G232" s="515"/>
      <c r="H232" s="258">
        <f>H205/H215*1000</f>
        <v>98202.15053763443</v>
      </c>
      <c r="I232" s="258">
        <f>H232</f>
        <v>98202.15053763443</v>
      </c>
    </row>
    <row r="233" spans="1:9" s="78" customFormat="1" ht="12.75">
      <c r="A233" s="175"/>
      <c r="B233" s="189"/>
      <c r="C233" s="201" t="s">
        <v>392</v>
      </c>
      <c r="D233" s="196" t="s">
        <v>145</v>
      </c>
      <c r="E233" s="513" t="s">
        <v>146</v>
      </c>
      <c r="F233" s="514"/>
      <c r="G233" s="515"/>
      <c r="H233" s="258">
        <f>H206/H216*1000</f>
        <v>110341.31736526947</v>
      </c>
      <c r="I233" s="258">
        <f>H233</f>
        <v>110341.31736526947</v>
      </c>
    </row>
    <row r="234" spans="1:9" s="78" customFormat="1" ht="26.25">
      <c r="A234" s="175"/>
      <c r="B234" s="189"/>
      <c r="C234" s="201" t="s">
        <v>401</v>
      </c>
      <c r="D234" s="196" t="s">
        <v>145</v>
      </c>
      <c r="E234" s="513" t="s">
        <v>146</v>
      </c>
      <c r="F234" s="514"/>
      <c r="G234" s="515"/>
      <c r="H234" s="260">
        <f>23459*1000/H212/12</f>
        <v>6128.265412748172</v>
      </c>
      <c r="I234" s="260">
        <f>(23896.4)*1000/I212/12</f>
        <v>6242.528735632183</v>
      </c>
    </row>
    <row r="235" spans="1:9" s="78" customFormat="1" ht="12.75">
      <c r="A235" s="175"/>
      <c r="B235" s="189"/>
      <c r="C235" s="201" t="s">
        <v>376</v>
      </c>
      <c r="D235" s="196" t="s">
        <v>125</v>
      </c>
      <c r="E235" s="513" t="s">
        <v>125</v>
      </c>
      <c r="F235" s="514"/>
      <c r="G235" s="515"/>
      <c r="H235" s="195"/>
      <c r="I235" s="195"/>
    </row>
    <row r="236" spans="1:9" s="78" customFormat="1" ht="12.75">
      <c r="A236" s="175"/>
      <c r="B236" s="189"/>
      <c r="C236" s="201" t="s">
        <v>390</v>
      </c>
      <c r="D236" s="196" t="s">
        <v>145</v>
      </c>
      <c r="E236" s="513" t="s">
        <v>146</v>
      </c>
      <c r="F236" s="514"/>
      <c r="G236" s="515"/>
      <c r="H236" s="263">
        <f>4147.1*1000/H214/12</f>
        <v>5857.485875706215</v>
      </c>
      <c r="I236" s="263">
        <f>(4205.9)*1000/I214/12</f>
        <v>5940.536723163842</v>
      </c>
    </row>
    <row r="237" spans="1:9" s="78" customFormat="1" ht="12.75">
      <c r="A237" s="175"/>
      <c r="B237" s="189"/>
      <c r="C237" s="201" t="s">
        <v>391</v>
      </c>
      <c r="D237" s="196" t="s">
        <v>145</v>
      </c>
      <c r="E237" s="513" t="s">
        <v>146</v>
      </c>
      <c r="F237" s="514"/>
      <c r="G237" s="515"/>
      <c r="H237" s="263">
        <f>6572.1*1000/H215/12</f>
        <v>5888.978494623655</v>
      </c>
      <c r="I237" s="263">
        <f>(6643.2)*1000/I215/12</f>
        <v>5952.688172043011</v>
      </c>
    </row>
    <row r="238" spans="1:9" s="78" customFormat="1" ht="12.75">
      <c r="A238" s="175"/>
      <c r="B238" s="189"/>
      <c r="C238" s="201" t="s">
        <v>392</v>
      </c>
      <c r="D238" s="196" t="s">
        <v>145</v>
      </c>
      <c r="E238" s="513" t="s">
        <v>146</v>
      </c>
      <c r="F238" s="514"/>
      <c r="G238" s="515"/>
      <c r="H238" s="263">
        <f>12739.8*1000/H216/12</f>
        <v>6357.185628742514</v>
      </c>
      <c r="I238" s="263">
        <f>(13047.3)*1000/I216/12</f>
        <v>6510.62874251497</v>
      </c>
    </row>
    <row r="239" spans="1:9" s="78" customFormat="1" ht="26.25">
      <c r="A239" s="175"/>
      <c r="B239" s="189"/>
      <c r="C239" s="201" t="s">
        <v>402</v>
      </c>
      <c r="D239" s="196" t="s">
        <v>145</v>
      </c>
      <c r="E239" s="513" t="s">
        <v>146</v>
      </c>
      <c r="F239" s="514"/>
      <c r="G239" s="515"/>
      <c r="H239" s="204">
        <f>H207/H223*1000</f>
        <v>761.7823639774859</v>
      </c>
      <c r="I239" s="204">
        <f>I207/I223*1000</f>
        <v>796.4993748883729</v>
      </c>
    </row>
    <row r="240" spans="1:9" s="78" customFormat="1" ht="12.75">
      <c r="A240" s="175"/>
      <c r="B240" s="189"/>
      <c r="C240" s="201" t="s">
        <v>376</v>
      </c>
      <c r="D240" s="196" t="s">
        <v>125</v>
      </c>
      <c r="E240" s="513" t="s">
        <v>125</v>
      </c>
      <c r="F240" s="514"/>
      <c r="G240" s="515"/>
      <c r="H240" s="204"/>
      <c r="I240" s="204"/>
    </row>
    <row r="241" spans="1:9" s="78" customFormat="1" ht="12.75">
      <c r="A241" s="175"/>
      <c r="B241" s="189"/>
      <c r="C241" s="201" t="s">
        <v>390</v>
      </c>
      <c r="D241" s="196" t="s">
        <v>145</v>
      </c>
      <c r="E241" s="513" t="s">
        <v>146</v>
      </c>
      <c r="F241" s="514"/>
      <c r="G241" s="515"/>
      <c r="H241" s="258">
        <f aca="true" t="shared" si="1" ref="H241:I243">H209/H225*1000</f>
        <v>1551.5683814303638</v>
      </c>
      <c r="I241" s="258">
        <f t="shared" si="1"/>
        <v>1696.103896103896</v>
      </c>
    </row>
    <row r="242" spans="1:9" s="78" customFormat="1" ht="12.75">
      <c r="A242" s="175"/>
      <c r="B242" s="189"/>
      <c r="C242" s="201" t="s">
        <v>391</v>
      </c>
      <c r="D242" s="196" t="s">
        <v>145</v>
      </c>
      <c r="E242" s="513" t="s">
        <v>146</v>
      </c>
      <c r="F242" s="514"/>
      <c r="G242" s="515"/>
      <c r="H242" s="258">
        <f t="shared" si="1"/>
        <v>388.8135593220339</v>
      </c>
      <c r="I242" s="258">
        <f t="shared" si="1"/>
        <v>442.40184757505773</v>
      </c>
    </row>
    <row r="243" spans="1:9" s="78" customFormat="1" ht="12.75">
      <c r="A243" s="175"/>
      <c r="B243" s="189"/>
      <c r="C243" s="201" t="s">
        <v>392</v>
      </c>
      <c r="D243" s="196" t="s">
        <v>145</v>
      </c>
      <c r="E243" s="513" t="s">
        <v>146</v>
      </c>
      <c r="F243" s="514"/>
      <c r="G243" s="515"/>
      <c r="H243" s="258">
        <f t="shared" si="1"/>
        <v>818.8006482982173</v>
      </c>
      <c r="I243" s="258">
        <f t="shared" si="1"/>
        <v>798.2991882489371</v>
      </c>
    </row>
    <row r="244" spans="1:9" s="78" customFormat="1" ht="12.75">
      <c r="A244" s="175"/>
      <c r="B244" s="189"/>
      <c r="C244" s="201" t="s">
        <v>333</v>
      </c>
      <c r="D244" s="196" t="s">
        <v>125</v>
      </c>
      <c r="E244" s="525" t="s">
        <v>125</v>
      </c>
      <c r="F244" s="525"/>
      <c r="G244" s="525"/>
      <c r="H244" s="195"/>
      <c r="I244" s="195"/>
    </row>
    <row r="245" spans="1:9" s="78" customFormat="1" ht="26.25">
      <c r="A245" s="175"/>
      <c r="B245" s="189"/>
      <c r="C245" s="201" t="s">
        <v>403</v>
      </c>
      <c r="D245" s="196" t="s">
        <v>315</v>
      </c>
      <c r="E245" s="525" t="s">
        <v>270</v>
      </c>
      <c r="F245" s="525"/>
      <c r="G245" s="525"/>
      <c r="H245" s="195">
        <f>H247+H248+H249</f>
        <v>99</v>
      </c>
      <c r="I245" s="195">
        <f>I247+I248+I249</f>
        <v>99</v>
      </c>
    </row>
    <row r="246" spans="1:9" s="78" customFormat="1" ht="12.75">
      <c r="A246" s="175"/>
      <c r="B246" s="189"/>
      <c r="C246" s="201" t="s">
        <v>376</v>
      </c>
      <c r="D246" s="196" t="s">
        <v>125</v>
      </c>
      <c r="E246" s="525" t="s">
        <v>125</v>
      </c>
      <c r="F246" s="525"/>
      <c r="G246" s="525"/>
      <c r="H246" s="195"/>
      <c r="I246" s="195"/>
    </row>
    <row r="247" spans="1:9" s="78" customFormat="1" ht="12.75">
      <c r="A247" s="175"/>
      <c r="B247" s="189"/>
      <c r="C247" s="201" t="s">
        <v>390</v>
      </c>
      <c r="D247" s="196" t="s">
        <v>315</v>
      </c>
      <c r="E247" s="525" t="s">
        <v>270</v>
      </c>
      <c r="F247" s="525"/>
      <c r="G247" s="525"/>
      <c r="H247" s="196">
        <v>16</v>
      </c>
      <c r="I247" s="196">
        <f>H247</f>
        <v>16</v>
      </c>
    </row>
    <row r="248" spans="1:9" s="78" customFormat="1" ht="12.75">
      <c r="A248" s="175"/>
      <c r="B248" s="189"/>
      <c r="C248" s="201" t="s">
        <v>391</v>
      </c>
      <c r="D248" s="196" t="s">
        <v>315</v>
      </c>
      <c r="E248" s="525" t="s">
        <v>270</v>
      </c>
      <c r="F248" s="525"/>
      <c r="G248" s="525"/>
      <c r="H248" s="196">
        <v>26</v>
      </c>
      <c r="I248" s="196">
        <f>H248</f>
        <v>26</v>
      </c>
    </row>
    <row r="249" spans="1:9" s="78" customFormat="1" ht="12.75">
      <c r="A249" s="175"/>
      <c r="B249" s="189"/>
      <c r="C249" s="201" t="s">
        <v>392</v>
      </c>
      <c r="D249" s="196" t="s">
        <v>315</v>
      </c>
      <c r="E249" s="525" t="s">
        <v>270</v>
      </c>
      <c r="F249" s="525"/>
      <c r="G249" s="525"/>
      <c r="H249" s="196">
        <v>57</v>
      </c>
      <c r="I249" s="196">
        <f>H249</f>
        <v>57</v>
      </c>
    </row>
    <row r="250" spans="1:10" s="78" customFormat="1" ht="26.25">
      <c r="A250" s="175"/>
      <c r="B250" s="189"/>
      <c r="C250" s="201" t="s">
        <v>404</v>
      </c>
      <c r="D250" s="196" t="s">
        <v>123</v>
      </c>
      <c r="E250" s="513" t="s">
        <v>270</v>
      </c>
      <c r="F250" s="514"/>
      <c r="G250" s="515"/>
      <c r="H250" s="212">
        <f>H223/J250-100%</f>
        <v>0.018536212497611393</v>
      </c>
      <c r="I250" s="212">
        <f>I223/J250-100%</f>
        <v>0.06994076055799736</v>
      </c>
      <c r="J250" s="78">
        <v>5233</v>
      </c>
    </row>
    <row r="251" spans="1:10" s="78" customFormat="1" ht="12.75">
      <c r="A251" s="175"/>
      <c r="B251" s="189"/>
      <c r="C251" s="201" t="s">
        <v>376</v>
      </c>
      <c r="D251" s="196" t="s">
        <v>125</v>
      </c>
      <c r="E251" s="513" t="s">
        <v>125</v>
      </c>
      <c r="F251" s="514"/>
      <c r="G251" s="515"/>
      <c r="H251" s="212"/>
      <c r="I251" s="212"/>
      <c r="J251" s="78" t="s">
        <v>125</v>
      </c>
    </row>
    <row r="252" spans="1:10" s="78" customFormat="1" ht="12.75">
      <c r="A252" s="175"/>
      <c r="B252" s="189"/>
      <c r="C252" s="201" t="s">
        <v>390</v>
      </c>
      <c r="D252" s="196" t="s">
        <v>123</v>
      </c>
      <c r="E252" s="513" t="s">
        <v>270</v>
      </c>
      <c r="F252" s="514"/>
      <c r="G252" s="515"/>
      <c r="H252" s="262">
        <f>H225/J252-100%</f>
        <v>0.027061855670102997</v>
      </c>
      <c r="I252" s="262">
        <f>I225/J252-100%</f>
        <v>0.09149484536082464</v>
      </c>
      <c r="J252" s="78">
        <v>776</v>
      </c>
    </row>
    <row r="253" spans="1:10" s="78" customFormat="1" ht="12.75">
      <c r="A253" s="175"/>
      <c r="B253" s="189"/>
      <c r="C253" s="201" t="s">
        <v>391</v>
      </c>
      <c r="D253" s="196" t="s">
        <v>123</v>
      </c>
      <c r="E253" s="513" t="s">
        <v>270</v>
      </c>
      <c r="F253" s="514"/>
      <c r="G253" s="515"/>
      <c r="H253" s="262">
        <f>H226/J253-100%</f>
        <v>0.01524090462143568</v>
      </c>
      <c r="I253" s="262">
        <f>I226/J253-100%</f>
        <v>0.06440511307767949</v>
      </c>
      <c r="J253" s="78">
        <v>2034</v>
      </c>
    </row>
    <row r="254" spans="1:10" s="78" customFormat="1" ht="12.75">
      <c r="A254" s="175"/>
      <c r="B254" s="189"/>
      <c r="C254" s="201" t="s">
        <v>392</v>
      </c>
      <c r="D254" s="196" t="s">
        <v>123</v>
      </c>
      <c r="E254" s="513" t="s">
        <v>270</v>
      </c>
      <c r="F254" s="514"/>
      <c r="G254" s="515"/>
      <c r="H254" s="262">
        <f>H227/J254-100%</f>
        <v>0.018572018159306536</v>
      </c>
      <c r="I254" s="262">
        <f>I227/J254-100%</f>
        <v>0.06768468840280639</v>
      </c>
      <c r="J254" s="78">
        <v>2423</v>
      </c>
    </row>
    <row r="255" spans="1:9" s="78" customFormat="1" ht="12.75">
      <c r="A255" s="175"/>
      <c r="B255" s="189"/>
      <c r="C255" s="455" t="s">
        <v>405</v>
      </c>
      <c r="D255" s="456"/>
      <c r="E255" s="456"/>
      <c r="F255" s="456"/>
      <c r="G255" s="456"/>
      <c r="H255" s="456"/>
      <c r="I255" s="457"/>
    </row>
    <row r="256" spans="1:9" s="78" customFormat="1" ht="12.75">
      <c r="A256" s="175"/>
      <c r="B256" s="189"/>
      <c r="C256" s="201" t="s">
        <v>126</v>
      </c>
      <c r="D256" s="196" t="s">
        <v>125</v>
      </c>
      <c r="E256" s="513" t="s">
        <v>125</v>
      </c>
      <c r="F256" s="514"/>
      <c r="G256" s="515"/>
      <c r="H256" s="196"/>
      <c r="I256" s="196"/>
    </row>
    <row r="257" spans="1:10" s="78" customFormat="1" ht="12.75">
      <c r="A257" s="175"/>
      <c r="B257" s="189"/>
      <c r="C257" s="201" t="s">
        <v>149</v>
      </c>
      <c r="D257" s="196" t="s">
        <v>150</v>
      </c>
      <c r="E257" s="513" t="s">
        <v>128</v>
      </c>
      <c r="F257" s="514"/>
      <c r="G257" s="515"/>
      <c r="H257" s="196"/>
      <c r="I257" s="258">
        <f>G56</f>
        <v>1078.2</v>
      </c>
      <c r="J257" s="237">
        <f>I257-G56</f>
        <v>0</v>
      </c>
    </row>
    <row r="258" spans="1:9" s="78" customFormat="1" ht="12.75">
      <c r="A258" s="175"/>
      <c r="B258" s="189"/>
      <c r="C258" s="201" t="s">
        <v>136</v>
      </c>
      <c r="D258" s="196" t="s">
        <v>125</v>
      </c>
      <c r="E258" s="513" t="s">
        <v>125</v>
      </c>
      <c r="F258" s="514"/>
      <c r="G258" s="515"/>
      <c r="H258" s="196"/>
      <c r="I258" s="196"/>
    </row>
    <row r="259" spans="1:9" s="78" customFormat="1" ht="12.75">
      <c r="A259" s="175"/>
      <c r="B259" s="189"/>
      <c r="C259" s="201" t="s">
        <v>151</v>
      </c>
      <c r="D259" s="196" t="s">
        <v>124</v>
      </c>
      <c r="E259" s="513" t="s">
        <v>128</v>
      </c>
      <c r="F259" s="514"/>
      <c r="G259" s="515"/>
      <c r="H259" s="196"/>
      <c r="I259" s="196">
        <v>70</v>
      </c>
    </row>
    <row r="260" spans="1:9" s="78" customFormat="1" ht="12.75">
      <c r="A260" s="175"/>
      <c r="B260" s="189"/>
      <c r="C260" s="201" t="s">
        <v>143</v>
      </c>
      <c r="D260" s="196" t="s">
        <v>125</v>
      </c>
      <c r="E260" s="513" t="s">
        <v>125</v>
      </c>
      <c r="F260" s="514"/>
      <c r="G260" s="515"/>
      <c r="H260" s="196"/>
      <c r="I260" s="196"/>
    </row>
    <row r="261" spans="1:9" s="78" customFormat="1" ht="12.75">
      <c r="A261" s="175"/>
      <c r="B261" s="189"/>
      <c r="C261" s="201" t="s">
        <v>318</v>
      </c>
      <c r="D261" s="196" t="s">
        <v>150</v>
      </c>
      <c r="E261" s="513" t="s">
        <v>146</v>
      </c>
      <c r="F261" s="514"/>
      <c r="G261" s="515"/>
      <c r="H261" s="196"/>
      <c r="I261" s="258">
        <f>I257/I259</f>
        <v>15.402857142857144</v>
      </c>
    </row>
    <row r="262" spans="1:9" s="78" customFormat="1" ht="12.75">
      <c r="A262" s="175"/>
      <c r="B262" s="189"/>
      <c r="C262" s="201" t="s">
        <v>147</v>
      </c>
      <c r="D262" s="196" t="s">
        <v>125</v>
      </c>
      <c r="E262" s="513" t="s">
        <v>125</v>
      </c>
      <c r="F262" s="514"/>
      <c r="G262" s="515"/>
      <c r="H262" s="196"/>
      <c r="I262" s="196"/>
    </row>
    <row r="263" spans="1:9" s="78" customFormat="1" ht="12.75">
      <c r="A263" s="175"/>
      <c r="B263" s="189"/>
      <c r="C263" s="201" t="s">
        <v>153</v>
      </c>
      <c r="D263" s="196" t="s">
        <v>123</v>
      </c>
      <c r="E263" s="513" t="s">
        <v>128</v>
      </c>
      <c r="F263" s="514"/>
      <c r="G263" s="515"/>
      <c r="H263" s="196"/>
      <c r="I263" s="196">
        <v>100</v>
      </c>
    </row>
    <row r="264" spans="1:9" s="78" customFormat="1" ht="12.75">
      <c r="A264" s="175"/>
      <c r="B264" s="69">
        <f>B75</f>
        <v>1115032</v>
      </c>
      <c r="C264" s="504" t="str">
        <f>C75</f>
        <v>Підпрограма Фінансова підтримка дитячо-юнацьких спортивних шкіл фізкультурно-спортивних товариств</v>
      </c>
      <c r="D264" s="505"/>
      <c r="E264" s="505"/>
      <c r="F264" s="505"/>
      <c r="G264" s="505"/>
      <c r="H264" s="505"/>
      <c r="I264" s="506"/>
    </row>
    <row r="265" spans="1:9" s="78" customFormat="1" ht="12.75">
      <c r="A265" s="175"/>
      <c r="B265" s="189"/>
      <c r="C265" s="455" t="s">
        <v>406</v>
      </c>
      <c r="D265" s="456"/>
      <c r="E265" s="456"/>
      <c r="F265" s="456"/>
      <c r="G265" s="456"/>
      <c r="H265" s="456"/>
      <c r="I265" s="457"/>
    </row>
    <row r="266" spans="1:9" s="78" customFormat="1" ht="12.75">
      <c r="A266" s="175"/>
      <c r="B266" s="189"/>
      <c r="C266" s="202" t="s">
        <v>327</v>
      </c>
      <c r="D266" s="62" t="s">
        <v>125</v>
      </c>
      <c r="E266" s="486" t="s">
        <v>125</v>
      </c>
      <c r="F266" s="487"/>
      <c r="G266" s="488"/>
      <c r="H266" s="195"/>
      <c r="I266" s="195"/>
    </row>
    <row r="267" spans="1:9" s="78" customFormat="1" ht="26.25">
      <c r="A267" s="175"/>
      <c r="B267" s="189"/>
      <c r="C267" s="191" t="s">
        <v>407</v>
      </c>
      <c r="D267" s="8" t="s">
        <v>124</v>
      </c>
      <c r="E267" s="519" t="s">
        <v>128</v>
      </c>
      <c r="F267" s="520"/>
      <c r="G267" s="521"/>
      <c r="H267" s="195">
        <f>H269+H270+H271</f>
        <v>4</v>
      </c>
      <c r="I267" s="195">
        <f>I269+I270+I271</f>
        <v>4</v>
      </c>
    </row>
    <row r="268" spans="1:9" s="78" customFormat="1" ht="12.75">
      <c r="A268" s="175"/>
      <c r="B268" s="189"/>
      <c r="C268" s="191" t="s">
        <v>376</v>
      </c>
      <c r="D268" s="62" t="s">
        <v>125</v>
      </c>
      <c r="E268" s="486" t="s">
        <v>125</v>
      </c>
      <c r="F268" s="487"/>
      <c r="G268" s="488"/>
      <c r="H268" s="195"/>
      <c r="I268" s="195"/>
    </row>
    <row r="269" spans="1:9" s="78" customFormat="1" ht="12.75" hidden="1">
      <c r="A269" s="175"/>
      <c r="B269" s="189"/>
      <c r="C269" s="226" t="s">
        <v>391</v>
      </c>
      <c r="D269" s="8" t="s">
        <v>124</v>
      </c>
      <c r="E269" s="519" t="s">
        <v>128</v>
      </c>
      <c r="F269" s="520"/>
      <c r="G269" s="521"/>
      <c r="H269" s="195"/>
      <c r="I269" s="195"/>
    </row>
    <row r="270" spans="1:9" s="78" customFormat="1" ht="12.75">
      <c r="A270" s="175"/>
      <c r="B270" s="189"/>
      <c r="C270" s="226" t="s">
        <v>408</v>
      </c>
      <c r="D270" s="8" t="s">
        <v>124</v>
      </c>
      <c r="E270" s="519" t="s">
        <v>128</v>
      </c>
      <c r="F270" s="520"/>
      <c r="G270" s="521"/>
      <c r="H270" s="195">
        <v>2</v>
      </c>
      <c r="I270" s="195">
        <f>H270</f>
        <v>2</v>
      </c>
    </row>
    <row r="271" spans="1:9" s="78" customFormat="1" ht="12.75">
      <c r="A271" s="175"/>
      <c r="B271" s="189"/>
      <c r="C271" s="226" t="s">
        <v>392</v>
      </c>
      <c r="D271" s="8" t="s">
        <v>124</v>
      </c>
      <c r="E271" s="519" t="s">
        <v>128</v>
      </c>
      <c r="F271" s="520"/>
      <c r="G271" s="521"/>
      <c r="H271" s="195">
        <v>2</v>
      </c>
      <c r="I271" s="195">
        <f>H271</f>
        <v>2</v>
      </c>
    </row>
    <row r="272" spans="1:10" s="78" customFormat="1" ht="26.25">
      <c r="A272" s="175"/>
      <c r="B272" s="189"/>
      <c r="C272" s="191" t="s">
        <v>409</v>
      </c>
      <c r="D272" s="8" t="s">
        <v>344</v>
      </c>
      <c r="E272" s="519" t="s">
        <v>128</v>
      </c>
      <c r="F272" s="520"/>
      <c r="G272" s="521"/>
      <c r="H272" s="195">
        <f>H274+H275+H276</f>
        <v>11778.9</v>
      </c>
      <c r="I272" s="195">
        <f>I274+I275+I276</f>
        <v>12316.599999999999</v>
      </c>
      <c r="J272" s="78">
        <f>I272-H272</f>
        <v>537.6999999999989</v>
      </c>
    </row>
    <row r="273" spans="1:9" s="60" customFormat="1" ht="12.75">
      <c r="A273" s="58"/>
      <c r="B273" s="39"/>
      <c r="C273" s="191" t="s">
        <v>376</v>
      </c>
      <c r="D273" s="62" t="s">
        <v>125</v>
      </c>
      <c r="E273" s="486" t="s">
        <v>125</v>
      </c>
      <c r="F273" s="487"/>
      <c r="G273" s="488"/>
      <c r="H273" s="264"/>
      <c r="I273" s="264"/>
    </row>
    <row r="274" spans="1:9" s="60" customFormat="1" ht="12.75" hidden="1">
      <c r="A274" s="58"/>
      <c r="B274" s="39"/>
      <c r="C274" s="226" t="s">
        <v>391</v>
      </c>
      <c r="D274" s="8" t="s">
        <v>344</v>
      </c>
      <c r="E274" s="519" t="s">
        <v>128</v>
      </c>
      <c r="F274" s="520"/>
      <c r="G274" s="521"/>
      <c r="H274" s="264"/>
      <c r="I274" s="264"/>
    </row>
    <row r="275" spans="1:9" s="60" customFormat="1" ht="12.75">
      <c r="A275" s="58"/>
      <c r="B275" s="39"/>
      <c r="C275" s="226" t="s">
        <v>408</v>
      </c>
      <c r="D275" s="8" t="s">
        <v>344</v>
      </c>
      <c r="E275" s="519" t="s">
        <v>128</v>
      </c>
      <c r="F275" s="520"/>
      <c r="G275" s="521"/>
      <c r="H275" s="264">
        <v>5538</v>
      </c>
      <c r="I275" s="195">
        <f>H275+95.4+50+4.9</f>
        <v>5688.299999999999</v>
      </c>
    </row>
    <row r="276" spans="1:9" s="60" customFormat="1" ht="12.75">
      <c r="A276" s="58"/>
      <c r="B276" s="39"/>
      <c r="C276" s="226" t="s">
        <v>392</v>
      </c>
      <c r="D276" s="8" t="s">
        <v>344</v>
      </c>
      <c r="E276" s="519" t="s">
        <v>128</v>
      </c>
      <c r="F276" s="520"/>
      <c r="G276" s="521"/>
      <c r="H276" s="264">
        <v>6240.9</v>
      </c>
      <c r="I276" s="195">
        <f>H276+149.6+237.8</f>
        <v>6628.3</v>
      </c>
    </row>
    <row r="277" spans="1:9" s="60" customFormat="1" ht="26.25">
      <c r="A277" s="58"/>
      <c r="B277" s="39"/>
      <c r="C277" s="191" t="s">
        <v>410</v>
      </c>
      <c r="D277" s="8" t="s">
        <v>315</v>
      </c>
      <c r="E277" s="519" t="s">
        <v>130</v>
      </c>
      <c r="F277" s="520"/>
      <c r="G277" s="521"/>
      <c r="H277" s="195">
        <f>H279+H280+H281</f>
        <v>116</v>
      </c>
      <c r="I277" s="195">
        <f>I279+I280+I281</f>
        <v>116</v>
      </c>
    </row>
    <row r="278" spans="1:9" s="60" customFormat="1" ht="12.75">
      <c r="A278" s="58"/>
      <c r="B278" s="39"/>
      <c r="C278" s="191" t="s">
        <v>376</v>
      </c>
      <c r="D278" s="62" t="s">
        <v>125</v>
      </c>
      <c r="E278" s="486" t="s">
        <v>125</v>
      </c>
      <c r="F278" s="487"/>
      <c r="G278" s="488"/>
      <c r="H278" s="264"/>
      <c r="I278" s="264"/>
    </row>
    <row r="279" spans="1:9" s="60" customFormat="1" ht="12.75" hidden="1">
      <c r="A279" s="58"/>
      <c r="B279" s="39"/>
      <c r="C279" s="226" t="s">
        <v>391</v>
      </c>
      <c r="D279" s="8" t="s">
        <v>315</v>
      </c>
      <c r="E279" s="519" t="s">
        <v>130</v>
      </c>
      <c r="F279" s="520"/>
      <c r="G279" s="521"/>
      <c r="H279" s="264"/>
      <c r="I279" s="264"/>
    </row>
    <row r="280" spans="1:9" s="60" customFormat="1" ht="12.75">
      <c r="A280" s="58"/>
      <c r="B280" s="39"/>
      <c r="C280" s="226" t="s">
        <v>408</v>
      </c>
      <c r="D280" s="8" t="s">
        <v>315</v>
      </c>
      <c r="E280" s="519" t="s">
        <v>130</v>
      </c>
      <c r="F280" s="520"/>
      <c r="G280" s="521"/>
      <c r="H280" s="264">
        <v>61</v>
      </c>
      <c r="I280" s="195">
        <f>H280</f>
        <v>61</v>
      </c>
    </row>
    <row r="281" spans="1:9" s="60" customFormat="1" ht="12.75">
      <c r="A281" s="58"/>
      <c r="B281" s="39"/>
      <c r="C281" s="226" t="s">
        <v>392</v>
      </c>
      <c r="D281" s="8" t="s">
        <v>315</v>
      </c>
      <c r="E281" s="519" t="s">
        <v>130</v>
      </c>
      <c r="F281" s="520"/>
      <c r="G281" s="521"/>
      <c r="H281" s="264">
        <v>55</v>
      </c>
      <c r="I281" s="195">
        <f>H281</f>
        <v>55</v>
      </c>
    </row>
    <row r="282" spans="1:9" s="60" customFormat="1" ht="12.75">
      <c r="A282" s="58"/>
      <c r="B282" s="39"/>
      <c r="C282" s="191" t="s">
        <v>398</v>
      </c>
      <c r="D282" s="8" t="s">
        <v>315</v>
      </c>
      <c r="E282" s="519" t="s">
        <v>130</v>
      </c>
      <c r="F282" s="520"/>
      <c r="G282" s="521"/>
      <c r="H282" s="195">
        <f>H284+H285+H286</f>
        <v>85</v>
      </c>
      <c r="I282" s="195">
        <f>I284+I285+I286</f>
        <v>85</v>
      </c>
    </row>
    <row r="283" spans="1:9" s="60" customFormat="1" ht="12.75">
      <c r="A283" s="58"/>
      <c r="B283" s="39"/>
      <c r="C283" s="191" t="s">
        <v>376</v>
      </c>
      <c r="D283" s="62" t="s">
        <v>125</v>
      </c>
      <c r="E283" s="486" t="s">
        <v>125</v>
      </c>
      <c r="F283" s="487"/>
      <c r="G283" s="488"/>
      <c r="H283" s="264"/>
      <c r="I283" s="264"/>
    </row>
    <row r="284" spans="1:9" s="60" customFormat="1" ht="12.75" hidden="1">
      <c r="A284" s="58"/>
      <c r="B284" s="39"/>
      <c r="C284" s="226" t="s">
        <v>391</v>
      </c>
      <c r="D284" s="8" t="s">
        <v>315</v>
      </c>
      <c r="E284" s="519" t="s">
        <v>130</v>
      </c>
      <c r="F284" s="520"/>
      <c r="G284" s="521"/>
      <c r="H284" s="264"/>
      <c r="I284" s="264"/>
    </row>
    <row r="285" spans="1:9" s="60" customFormat="1" ht="12.75">
      <c r="A285" s="58"/>
      <c r="B285" s="39"/>
      <c r="C285" s="226" t="s">
        <v>408</v>
      </c>
      <c r="D285" s="8" t="s">
        <v>315</v>
      </c>
      <c r="E285" s="519" t="s">
        <v>130</v>
      </c>
      <c r="F285" s="520"/>
      <c r="G285" s="521"/>
      <c r="H285" s="264">
        <v>45</v>
      </c>
      <c r="I285" s="195">
        <f>H285</f>
        <v>45</v>
      </c>
    </row>
    <row r="286" spans="1:9" s="60" customFormat="1" ht="12.75">
      <c r="A286" s="58"/>
      <c r="B286" s="39"/>
      <c r="C286" s="226" t="s">
        <v>392</v>
      </c>
      <c r="D286" s="8" t="s">
        <v>315</v>
      </c>
      <c r="E286" s="519" t="s">
        <v>130</v>
      </c>
      <c r="F286" s="520"/>
      <c r="G286" s="521"/>
      <c r="H286" s="264">
        <v>40</v>
      </c>
      <c r="I286" s="195">
        <f>H286</f>
        <v>40</v>
      </c>
    </row>
    <row r="287" spans="1:9" s="60" customFormat="1" ht="12.75">
      <c r="A287" s="58"/>
      <c r="B287" s="39"/>
      <c r="C287" s="202" t="s">
        <v>329</v>
      </c>
      <c r="D287" s="62" t="s">
        <v>125</v>
      </c>
      <c r="E287" s="486" t="s">
        <v>125</v>
      </c>
      <c r="F287" s="487"/>
      <c r="G287" s="488"/>
      <c r="H287" s="264"/>
      <c r="I287" s="264"/>
    </row>
    <row r="288" spans="1:11" s="60" customFormat="1" ht="26.25">
      <c r="A288" s="58"/>
      <c r="B288" s="39"/>
      <c r="C288" s="191" t="s">
        <v>411</v>
      </c>
      <c r="D288" s="8" t="s">
        <v>315</v>
      </c>
      <c r="E288" s="519" t="s">
        <v>270</v>
      </c>
      <c r="F288" s="520"/>
      <c r="G288" s="521"/>
      <c r="H288" s="195">
        <f>H290+H291+H292</f>
        <v>1746</v>
      </c>
      <c r="I288" s="195">
        <f>I290+I291+I292</f>
        <v>1885</v>
      </c>
      <c r="J288" s="60">
        <v>4</v>
      </c>
      <c r="K288" s="60">
        <v>4.9</v>
      </c>
    </row>
    <row r="289" spans="1:10" s="60" customFormat="1" ht="12.75">
      <c r="A289" s="58"/>
      <c r="B289" s="39"/>
      <c r="C289" s="191" t="s">
        <v>376</v>
      </c>
      <c r="D289" s="62" t="s">
        <v>125</v>
      </c>
      <c r="E289" s="486" t="s">
        <v>125</v>
      </c>
      <c r="F289" s="487"/>
      <c r="G289" s="488"/>
      <c r="H289" s="264"/>
      <c r="I289" s="264"/>
      <c r="J289" s="60">
        <f>J288*0.22</f>
        <v>0.88</v>
      </c>
    </row>
    <row r="290" spans="1:9" s="60" customFormat="1" ht="12.75" hidden="1">
      <c r="A290" s="58"/>
      <c r="B290" s="39"/>
      <c r="C290" s="226" t="s">
        <v>391</v>
      </c>
      <c r="D290" s="8" t="s">
        <v>315</v>
      </c>
      <c r="E290" s="519" t="s">
        <v>270</v>
      </c>
      <c r="F290" s="520"/>
      <c r="G290" s="521"/>
      <c r="H290" s="264"/>
      <c r="I290" s="264"/>
    </row>
    <row r="291" spans="1:9" s="60" customFormat="1" ht="12.75">
      <c r="A291" s="58"/>
      <c r="B291" s="39"/>
      <c r="C291" s="226" t="s">
        <v>408</v>
      </c>
      <c r="D291" s="8" t="s">
        <v>315</v>
      </c>
      <c r="E291" s="519" t="s">
        <v>270</v>
      </c>
      <c r="F291" s="520"/>
      <c r="G291" s="521"/>
      <c r="H291" s="264">
        <v>1021</v>
      </c>
      <c r="I291" s="195">
        <f>H291+100</f>
        <v>1121</v>
      </c>
    </row>
    <row r="292" spans="1:9" s="60" customFormat="1" ht="12.75">
      <c r="A292" s="58"/>
      <c r="B292" s="39"/>
      <c r="C292" s="226" t="s">
        <v>392</v>
      </c>
      <c r="D292" s="8" t="s">
        <v>315</v>
      </c>
      <c r="E292" s="519" t="s">
        <v>270</v>
      </c>
      <c r="F292" s="520"/>
      <c r="G292" s="521"/>
      <c r="H292" s="264">
        <v>725</v>
      </c>
      <c r="I292" s="195">
        <f>H292+39</f>
        <v>764</v>
      </c>
    </row>
    <row r="293" spans="1:9" s="60" customFormat="1" ht="12.75">
      <c r="A293" s="58"/>
      <c r="B293" s="39"/>
      <c r="C293" s="202" t="s">
        <v>331</v>
      </c>
      <c r="D293" s="62" t="s">
        <v>125</v>
      </c>
      <c r="E293" s="486" t="s">
        <v>125</v>
      </c>
      <c r="F293" s="487"/>
      <c r="G293" s="488"/>
      <c r="H293" s="264"/>
      <c r="I293" s="264"/>
    </row>
    <row r="294" spans="1:9" s="60" customFormat="1" ht="26.25">
      <c r="A294" s="58"/>
      <c r="B294" s="39"/>
      <c r="C294" s="191" t="s">
        <v>412</v>
      </c>
      <c r="D294" s="8" t="s">
        <v>145</v>
      </c>
      <c r="E294" s="519" t="s">
        <v>146</v>
      </c>
      <c r="F294" s="520"/>
      <c r="G294" s="521"/>
      <c r="H294" s="75">
        <f>8810.2/H277/12*1000</f>
        <v>6329.166666666667</v>
      </c>
      <c r="I294" s="75">
        <f>(9015)/I277/12*1000</f>
        <v>6476.293103448276</v>
      </c>
    </row>
    <row r="295" spans="1:9" s="60" customFormat="1" ht="12.75">
      <c r="A295" s="58"/>
      <c r="B295" s="39"/>
      <c r="C295" s="191" t="s">
        <v>376</v>
      </c>
      <c r="D295" s="62" t="s">
        <v>125</v>
      </c>
      <c r="E295" s="486" t="s">
        <v>125</v>
      </c>
      <c r="F295" s="487"/>
      <c r="G295" s="488"/>
      <c r="H295" s="265"/>
      <c r="I295" s="265"/>
    </row>
    <row r="296" spans="1:9" s="60" customFormat="1" ht="12.75" hidden="1">
      <c r="A296" s="58"/>
      <c r="B296" s="39"/>
      <c r="C296" s="226" t="s">
        <v>391</v>
      </c>
      <c r="D296" s="8" t="s">
        <v>145</v>
      </c>
      <c r="E296" s="519" t="s">
        <v>146</v>
      </c>
      <c r="F296" s="520"/>
      <c r="G296" s="521"/>
      <c r="H296" s="265"/>
      <c r="I296" s="265"/>
    </row>
    <row r="297" spans="1:9" s="60" customFormat="1" ht="12.75">
      <c r="A297" s="58"/>
      <c r="B297" s="39"/>
      <c r="C297" s="226" t="s">
        <v>408</v>
      </c>
      <c r="D297" s="8" t="s">
        <v>145</v>
      </c>
      <c r="E297" s="519" t="s">
        <v>146</v>
      </c>
      <c r="F297" s="520"/>
      <c r="G297" s="521"/>
      <c r="H297" s="265">
        <f>4322.8/H280/12*1000</f>
        <v>5905.464480874318</v>
      </c>
      <c r="I297" s="265">
        <f>(4401+4)/I280/12*1000</f>
        <v>6017.759562841529</v>
      </c>
    </row>
    <row r="298" spans="1:10" s="60" customFormat="1" ht="12.75">
      <c r="A298" s="58"/>
      <c r="B298" s="39"/>
      <c r="C298" s="226" t="s">
        <v>392</v>
      </c>
      <c r="D298" s="8" t="s">
        <v>145</v>
      </c>
      <c r="E298" s="519" t="s">
        <v>146</v>
      </c>
      <c r="F298" s="520"/>
      <c r="G298" s="521"/>
      <c r="H298" s="265">
        <f>4487.4/H281/12*1000</f>
        <v>6799.090909090908</v>
      </c>
      <c r="I298" s="265">
        <f>(4610)/I281/12*1000</f>
        <v>6984.848484848484</v>
      </c>
      <c r="J298" s="67" t="e">
        <f>(4484.9+280.3)/J281/12*1000</f>
        <v>#DIV/0!</v>
      </c>
    </row>
    <row r="299" spans="1:11" s="60" customFormat="1" ht="26.25">
      <c r="A299" s="58"/>
      <c r="B299" s="39"/>
      <c r="C299" s="191" t="s">
        <v>415</v>
      </c>
      <c r="D299" s="8" t="s">
        <v>145</v>
      </c>
      <c r="E299" s="519" t="s">
        <v>146</v>
      </c>
      <c r="F299" s="520"/>
      <c r="G299" s="521"/>
      <c r="H299" s="265">
        <f>(114.8+149.4+126.4+111.8)*1000/H288</f>
        <v>287.74341351660945</v>
      </c>
      <c r="I299" s="265">
        <f>(114.8+149.4+126.4+111.8+167.8)*1000/I288</f>
        <v>355.54376657824935</v>
      </c>
      <c r="J299" s="60">
        <f>114.8+149.4+126.4+111.8</f>
        <v>502.40000000000003</v>
      </c>
      <c r="K299" s="60">
        <f>114.8+149.4+126.4+111.8+167.8</f>
        <v>670.2</v>
      </c>
    </row>
    <row r="300" spans="1:9" s="60" customFormat="1" ht="12.75">
      <c r="A300" s="58"/>
      <c r="B300" s="39"/>
      <c r="C300" s="191" t="s">
        <v>376</v>
      </c>
      <c r="D300" s="62" t="s">
        <v>125</v>
      </c>
      <c r="E300" s="486" t="s">
        <v>125</v>
      </c>
      <c r="F300" s="487"/>
      <c r="G300" s="488"/>
      <c r="H300" s="265"/>
      <c r="I300" s="265"/>
    </row>
    <row r="301" spans="1:9" s="60" customFormat="1" ht="12.75" hidden="1">
      <c r="A301" s="58"/>
      <c r="B301" s="39"/>
      <c r="C301" s="226" t="s">
        <v>391</v>
      </c>
      <c r="D301" s="8" t="s">
        <v>145</v>
      </c>
      <c r="E301" s="519" t="s">
        <v>146</v>
      </c>
      <c r="F301" s="520"/>
      <c r="G301" s="521"/>
      <c r="H301" s="265"/>
      <c r="I301" s="265"/>
    </row>
    <row r="302" spans="1:9" s="60" customFormat="1" ht="12.75">
      <c r="A302" s="58"/>
      <c r="B302" s="39"/>
      <c r="C302" s="226" t="s">
        <v>408</v>
      </c>
      <c r="D302" s="8" t="s">
        <v>145</v>
      </c>
      <c r="E302" s="519" t="s">
        <v>146</v>
      </c>
      <c r="F302" s="520"/>
      <c r="G302" s="521"/>
      <c r="H302" s="265">
        <f>(114.8+149.4)*1000/H291</f>
        <v>258.7659157688541</v>
      </c>
      <c r="I302" s="265">
        <f>(114.8+149.4+50)*1000/I291</f>
        <v>280.28545941123997</v>
      </c>
    </row>
    <row r="303" spans="1:9" s="60" customFormat="1" ht="12.75">
      <c r="A303" s="58"/>
      <c r="B303" s="39"/>
      <c r="C303" s="226" t="s">
        <v>392</v>
      </c>
      <c r="D303" s="8" t="s">
        <v>145</v>
      </c>
      <c r="E303" s="519" t="s">
        <v>146</v>
      </c>
      <c r="F303" s="520"/>
      <c r="G303" s="521"/>
      <c r="H303" s="265">
        <f>(126.4+111.8)*1000/H292</f>
        <v>328.55172413793105</v>
      </c>
      <c r="I303" s="265">
        <f>(126.4+111.8+117.8)*1000/I292</f>
        <v>465.9685863874345</v>
      </c>
    </row>
    <row r="304" spans="1:9" s="60" customFormat="1" ht="12.75">
      <c r="A304" s="58"/>
      <c r="B304" s="39"/>
      <c r="C304" s="202" t="s">
        <v>147</v>
      </c>
      <c r="D304" s="62" t="s">
        <v>125</v>
      </c>
      <c r="E304" s="486" t="s">
        <v>125</v>
      </c>
      <c r="F304" s="487"/>
      <c r="G304" s="488"/>
      <c r="H304" s="264"/>
      <c r="I304" s="264"/>
    </row>
    <row r="305" spans="1:9" s="60" customFormat="1" ht="39">
      <c r="A305" s="58"/>
      <c r="B305" s="39"/>
      <c r="C305" s="191" t="s">
        <v>413</v>
      </c>
      <c r="D305" s="8" t="s">
        <v>315</v>
      </c>
      <c r="E305" s="519" t="s">
        <v>270</v>
      </c>
      <c r="F305" s="520"/>
      <c r="G305" s="521"/>
      <c r="H305" s="195">
        <f>H307+H308+H309</f>
        <v>26</v>
      </c>
      <c r="I305" s="195">
        <f>I307+I308+I309</f>
        <v>26</v>
      </c>
    </row>
    <row r="306" spans="1:9" s="60" customFormat="1" ht="12.75">
      <c r="A306" s="58"/>
      <c r="B306" s="39"/>
      <c r="C306" s="191" t="s">
        <v>376</v>
      </c>
      <c r="D306" s="62" t="s">
        <v>125</v>
      </c>
      <c r="E306" s="486" t="s">
        <v>125</v>
      </c>
      <c r="F306" s="487"/>
      <c r="G306" s="488"/>
      <c r="H306" s="264"/>
      <c r="I306" s="264"/>
    </row>
    <row r="307" spans="1:9" s="60" customFormat="1" ht="12.75" hidden="1">
      <c r="A307" s="58"/>
      <c r="B307" s="39"/>
      <c r="C307" s="226" t="s">
        <v>391</v>
      </c>
      <c r="D307" s="8" t="s">
        <v>315</v>
      </c>
      <c r="E307" s="519" t="s">
        <v>270</v>
      </c>
      <c r="F307" s="520"/>
      <c r="G307" s="521"/>
      <c r="H307" s="264"/>
      <c r="I307" s="264"/>
    </row>
    <row r="308" spans="1:9" s="60" customFormat="1" ht="12.75">
      <c r="A308" s="58"/>
      <c r="B308" s="39"/>
      <c r="C308" s="226" t="s">
        <v>408</v>
      </c>
      <c r="D308" s="8" t="s">
        <v>315</v>
      </c>
      <c r="E308" s="519" t="s">
        <v>270</v>
      </c>
      <c r="F308" s="520"/>
      <c r="G308" s="521"/>
      <c r="H308" s="264">
        <v>11</v>
      </c>
      <c r="I308" s="195">
        <f>H308</f>
        <v>11</v>
      </c>
    </row>
    <row r="309" spans="1:9" s="60" customFormat="1" ht="12.75">
      <c r="A309" s="58"/>
      <c r="B309" s="39"/>
      <c r="C309" s="226" t="s">
        <v>392</v>
      </c>
      <c r="D309" s="8" t="s">
        <v>315</v>
      </c>
      <c r="E309" s="519" t="s">
        <v>270</v>
      </c>
      <c r="F309" s="520"/>
      <c r="G309" s="521"/>
      <c r="H309" s="264">
        <v>15</v>
      </c>
      <c r="I309" s="195">
        <f>H309</f>
        <v>15</v>
      </c>
    </row>
    <row r="310" spans="1:10" s="60" customFormat="1" ht="26.25">
      <c r="A310" s="58"/>
      <c r="B310" s="39"/>
      <c r="C310" s="191" t="s">
        <v>414</v>
      </c>
      <c r="D310" s="8" t="s">
        <v>123</v>
      </c>
      <c r="E310" s="519" t="s">
        <v>146</v>
      </c>
      <c r="F310" s="520"/>
      <c r="G310" s="521"/>
      <c r="H310" s="266">
        <f>H288/J310-100%</f>
        <v>0.009248554913294793</v>
      </c>
      <c r="I310" s="266">
        <f>I288/J310-100%</f>
        <v>0.08959537572254339</v>
      </c>
      <c r="J310" s="60">
        <f>J313+J314</f>
        <v>1730</v>
      </c>
    </row>
    <row r="311" spans="1:9" s="60" customFormat="1" ht="12.75">
      <c r="A311" s="58"/>
      <c r="B311" s="39"/>
      <c r="C311" s="191" t="s">
        <v>376</v>
      </c>
      <c r="D311" s="62" t="s">
        <v>125</v>
      </c>
      <c r="E311" s="486" t="s">
        <v>125</v>
      </c>
      <c r="F311" s="487"/>
      <c r="G311" s="488"/>
      <c r="H311" s="264"/>
      <c r="I311" s="264"/>
    </row>
    <row r="312" spans="1:9" s="60" customFormat="1" ht="12.75" hidden="1">
      <c r="A312" s="58"/>
      <c r="B312" s="39"/>
      <c r="C312" s="226" t="s">
        <v>391</v>
      </c>
      <c r="D312" s="8" t="s">
        <v>123</v>
      </c>
      <c r="E312" s="519" t="s">
        <v>146</v>
      </c>
      <c r="F312" s="520"/>
      <c r="G312" s="521"/>
      <c r="H312" s="264"/>
      <c r="I312" s="264"/>
    </row>
    <row r="313" spans="1:10" s="60" customFormat="1" ht="12.75">
      <c r="A313" s="58"/>
      <c r="B313" s="39"/>
      <c r="C313" s="226" t="s">
        <v>408</v>
      </c>
      <c r="D313" s="8" t="s">
        <v>123</v>
      </c>
      <c r="E313" s="519" t="s">
        <v>146</v>
      </c>
      <c r="F313" s="520"/>
      <c r="G313" s="521"/>
      <c r="H313" s="266">
        <f>H291/J313-100%</f>
        <v>0.0108910891089109</v>
      </c>
      <c r="I313" s="266">
        <f>I291/J313-100%</f>
        <v>0.10990099009901</v>
      </c>
      <c r="J313" s="60">
        <v>1010</v>
      </c>
    </row>
    <row r="314" spans="1:10" s="60" customFormat="1" ht="12.75">
      <c r="A314" s="58"/>
      <c r="B314" s="39"/>
      <c r="C314" s="226" t="s">
        <v>392</v>
      </c>
      <c r="D314" s="8" t="s">
        <v>123</v>
      </c>
      <c r="E314" s="519" t="s">
        <v>146</v>
      </c>
      <c r="F314" s="520"/>
      <c r="G314" s="521"/>
      <c r="H314" s="259">
        <f>H292/J314-100%</f>
        <v>0.00694444444444442</v>
      </c>
      <c r="I314" s="259">
        <f>I292/J314-100%</f>
        <v>0.061111111111111116</v>
      </c>
      <c r="J314" s="60">
        <v>720</v>
      </c>
    </row>
    <row r="315" spans="1:9" s="60" customFormat="1" ht="12.75">
      <c r="A315" s="58"/>
      <c r="B315" s="69">
        <f>B132</f>
        <v>1115033</v>
      </c>
      <c r="C315" s="504" t="str">
        <f>C132</f>
        <v>Підпрограма Забезпечення підготовки спортсменів вищих категорій школами вищої спортивної майстерності</v>
      </c>
      <c r="D315" s="505"/>
      <c r="E315" s="505"/>
      <c r="F315" s="505"/>
      <c r="G315" s="505"/>
      <c r="H315" s="505"/>
      <c r="I315" s="506"/>
    </row>
    <row r="316" spans="1:9" s="60" customFormat="1" ht="12.75">
      <c r="A316" s="58"/>
      <c r="B316" s="189"/>
      <c r="C316" s="455" t="s">
        <v>416</v>
      </c>
      <c r="D316" s="456"/>
      <c r="E316" s="456"/>
      <c r="F316" s="456"/>
      <c r="G316" s="456"/>
      <c r="H316" s="456"/>
      <c r="I316" s="457"/>
    </row>
    <row r="317" spans="1:9" s="60" customFormat="1" ht="12.75">
      <c r="A317" s="58"/>
      <c r="B317" s="39"/>
      <c r="C317" s="202" t="s">
        <v>327</v>
      </c>
      <c r="D317" s="62" t="s">
        <v>125</v>
      </c>
      <c r="E317" s="486" t="s">
        <v>125</v>
      </c>
      <c r="F317" s="487"/>
      <c r="G317" s="488"/>
      <c r="H317" s="59"/>
      <c r="I317" s="59"/>
    </row>
    <row r="318" spans="1:9" s="60" customFormat="1" ht="12.75">
      <c r="A318" s="58"/>
      <c r="B318" s="39"/>
      <c r="C318" s="240" t="s">
        <v>417</v>
      </c>
      <c r="D318" s="8" t="s">
        <v>124</v>
      </c>
      <c r="E318" s="519" t="s">
        <v>270</v>
      </c>
      <c r="F318" s="520"/>
      <c r="G318" s="521"/>
      <c r="H318" s="59">
        <v>1</v>
      </c>
      <c r="I318" s="59">
        <v>1</v>
      </c>
    </row>
    <row r="319" spans="1:9" s="60" customFormat="1" ht="12.75">
      <c r="A319" s="58"/>
      <c r="B319" s="39"/>
      <c r="C319" s="240" t="s">
        <v>418</v>
      </c>
      <c r="D319" s="8" t="s">
        <v>124</v>
      </c>
      <c r="E319" s="519" t="s">
        <v>130</v>
      </c>
      <c r="F319" s="520"/>
      <c r="G319" s="521"/>
      <c r="H319" s="196">
        <v>90</v>
      </c>
      <c r="I319" s="59">
        <f aca="true" t="shared" si="2" ref="I319:I339">H319</f>
        <v>90</v>
      </c>
    </row>
    <row r="320" spans="1:9" s="60" customFormat="1" ht="12.75">
      <c r="A320" s="58"/>
      <c r="B320" s="39"/>
      <c r="C320" s="241" t="s">
        <v>307</v>
      </c>
      <c r="D320" s="242" t="s">
        <v>124</v>
      </c>
      <c r="E320" s="522" t="s">
        <v>130</v>
      </c>
      <c r="F320" s="523"/>
      <c r="G320" s="524"/>
      <c r="H320" s="196">
        <v>65</v>
      </c>
      <c r="I320" s="59">
        <f t="shared" si="2"/>
        <v>65</v>
      </c>
    </row>
    <row r="321" spans="1:9" s="60" customFormat="1" ht="12.75">
      <c r="A321" s="58"/>
      <c r="B321" s="39"/>
      <c r="C321" s="240" t="s">
        <v>419</v>
      </c>
      <c r="D321" s="8" t="s">
        <v>124</v>
      </c>
      <c r="E321" s="519" t="s">
        <v>128</v>
      </c>
      <c r="F321" s="520"/>
      <c r="G321" s="521"/>
      <c r="H321" s="196">
        <f>H323+H324</f>
        <v>369</v>
      </c>
      <c r="I321" s="59">
        <f t="shared" si="2"/>
        <v>369</v>
      </c>
    </row>
    <row r="322" spans="1:9" s="60" customFormat="1" ht="12.75">
      <c r="A322" s="58"/>
      <c r="B322" s="39"/>
      <c r="C322" s="240" t="s">
        <v>376</v>
      </c>
      <c r="D322" s="8" t="s">
        <v>125</v>
      </c>
      <c r="E322" s="519" t="s">
        <v>125</v>
      </c>
      <c r="F322" s="520"/>
      <c r="G322" s="521"/>
      <c r="H322" s="59"/>
      <c r="I322" s="59"/>
    </row>
    <row r="323" spans="1:9" s="60" customFormat="1" ht="12.75">
      <c r="A323" s="58"/>
      <c r="B323" s="39"/>
      <c r="C323" s="240" t="s">
        <v>420</v>
      </c>
      <c r="D323" s="8" t="s">
        <v>124</v>
      </c>
      <c r="E323" s="519" t="s">
        <v>128</v>
      </c>
      <c r="F323" s="520"/>
      <c r="G323" s="521"/>
      <c r="H323" s="196">
        <v>259</v>
      </c>
      <c r="I323" s="59">
        <f t="shared" si="2"/>
        <v>259</v>
      </c>
    </row>
    <row r="324" spans="1:9" s="60" customFormat="1" ht="12.75">
      <c r="A324" s="58"/>
      <c r="B324" s="39"/>
      <c r="C324" s="240" t="s">
        <v>421</v>
      </c>
      <c r="D324" s="8" t="s">
        <v>124</v>
      </c>
      <c r="E324" s="519" t="s">
        <v>128</v>
      </c>
      <c r="F324" s="520"/>
      <c r="G324" s="521"/>
      <c r="H324" s="196">
        <v>110</v>
      </c>
      <c r="I324" s="59">
        <f t="shared" si="2"/>
        <v>110</v>
      </c>
    </row>
    <row r="325" spans="1:9" s="60" customFormat="1" ht="12.75">
      <c r="A325" s="58"/>
      <c r="B325" s="39"/>
      <c r="C325" s="240" t="s">
        <v>422</v>
      </c>
      <c r="D325" s="8" t="s">
        <v>124</v>
      </c>
      <c r="E325" s="519" t="s">
        <v>320</v>
      </c>
      <c r="F325" s="520"/>
      <c r="G325" s="521"/>
      <c r="H325" s="196">
        <v>1</v>
      </c>
      <c r="I325" s="59">
        <f t="shared" si="2"/>
        <v>1</v>
      </c>
    </row>
    <row r="326" spans="1:9" s="60" customFormat="1" ht="12.75">
      <c r="A326" s="58"/>
      <c r="B326" s="39"/>
      <c r="C326" s="240" t="s">
        <v>423</v>
      </c>
      <c r="D326" s="8" t="s">
        <v>124</v>
      </c>
      <c r="E326" s="519" t="s">
        <v>320</v>
      </c>
      <c r="F326" s="520"/>
      <c r="G326" s="521"/>
      <c r="H326" s="196">
        <v>346</v>
      </c>
      <c r="I326" s="59">
        <f>H326+20</f>
        <v>366</v>
      </c>
    </row>
    <row r="327" spans="1:9" s="60" customFormat="1" ht="12.75">
      <c r="A327" s="58"/>
      <c r="B327" s="39"/>
      <c r="C327" s="202" t="s">
        <v>329</v>
      </c>
      <c r="D327" s="62" t="s">
        <v>125</v>
      </c>
      <c r="E327" s="486" t="s">
        <v>125</v>
      </c>
      <c r="F327" s="487"/>
      <c r="G327" s="488"/>
      <c r="H327" s="59"/>
      <c r="I327" s="59"/>
    </row>
    <row r="328" spans="1:10" s="60" customFormat="1" ht="12.75">
      <c r="A328" s="58"/>
      <c r="B328" s="39"/>
      <c r="C328" s="240" t="s">
        <v>424</v>
      </c>
      <c r="D328" s="8" t="s">
        <v>124</v>
      </c>
      <c r="E328" s="519" t="s">
        <v>270</v>
      </c>
      <c r="F328" s="520"/>
      <c r="G328" s="521"/>
      <c r="H328" s="59">
        <v>46028</v>
      </c>
      <c r="I328" s="59">
        <f>H328+100*15</f>
        <v>47528</v>
      </c>
      <c r="J328" s="60">
        <f>14228699.23+400000</f>
        <v>14628699.23</v>
      </c>
    </row>
    <row r="329" spans="1:10" s="60" customFormat="1" ht="12.75">
      <c r="A329" s="58"/>
      <c r="B329" s="39"/>
      <c r="C329" s="240" t="s">
        <v>425</v>
      </c>
      <c r="D329" s="8" t="s">
        <v>124</v>
      </c>
      <c r="E329" s="519" t="s">
        <v>270</v>
      </c>
      <c r="F329" s="520"/>
      <c r="G329" s="521"/>
      <c r="H329" s="59">
        <v>25</v>
      </c>
      <c r="I329" s="59">
        <f t="shared" si="2"/>
        <v>25</v>
      </c>
      <c r="J329" s="60">
        <f>J328/I328</f>
        <v>307.79118056724457</v>
      </c>
    </row>
    <row r="330" spans="1:9" s="60" customFormat="1" ht="12.75">
      <c r="A330" s="58"/>
      <c r="B330" s="39"/>
      <c r="C330" s="202" t="s">
        <v>331</v>
      </c>
      <c r="D330" s="62" t="s">
        <v>125</v>
      </c>
      <c r="E330" s="486" t="s">
        <v>125</v>
      </c>
      <c r="F330" s="487"/>
      <c r="G330" s="488"/>
      <c r="H330" s="59"/>
      <c r="I330" s="59"/>
    </row>
    <row r="331" spans="1:9" s="60" customFormat="1" ht="12.75">
      <c r="A331" s="58"/>
      <c r="B331" s="39"/>
      <c r="C331" s="240" t="s">
        <v>426</v>
      </c>
      <c r="D331" s="8" t="s">
        <v>145</v>
      </c>
      <c r="E331" s="519" t="s">
        <v>146</v>
      </c>
      <c r="F331" s="520"/>
      <c r="G331" s="521"/>
      <c r="H331" s="59">
        <v>309.1</v>
      </c>
      <c r="I331" s="59">
        <v>307.8</v>
      </c>
    </row>
    <row r="332" spans="1:9" s="60" customFormat="1" ht="12.75">
      <c r="A332" s="58"/>
      <c r="B332" s="39"/>
      <c r="C332" s="240" t="s">
        <v>427</v>
      </c>
      <c r="D332" s="8" t="s">
        <v>145</v>
      </c>
      <c r="E332" s="519" t="s">
        <v>146</v>
      </c>
      <c r="F332" s="520"/>
      <c r="G332" s="521"/>
      <c r="H332" s="59">
        <v>509</v>
      </c>
      <c r="I332" s="59">
        <f t="shared" si="2"/>
        <v>509</v>
      </c>
    </row>
    <row r="333" spans="1:9" s="60" customFormat="1" ht="12.75">
      <c r="A333" s="58"/>
      <c r="B333" s="39"/>
      <c r="C333" s="202" t="s">
        <v>333</v>
      </c>
      <c r="D333" s="62" t="s">
        <v>125</v>
      </c>
      <c r="E333" s="486" t="s">
        <v>125</v>
      </c>
      <c r="F333" s="487"/>
      <c r="G333" s="488"/>
      <c r="H333" s="59"/>
      <c r="I333" s="59"/>
    </row>
    <row r="334" spans="1:9" s="60" customFormat="1" ht="12.75">
      <c r="A334" s="58"/>
      <c r="B334" s="39"/>
      <c r="C334" s="240" t="s">
        <v>428</v>
      </c>
      <c r="D334" s="8" t="s">
        <v>315</v>
      </c>
      <c r="E334" s="519" t="s">
        <v>270</v>
      </c>
      <c r="F334" s="520"/>
      <c r="G334" s="521"/>
      <c r="H334" s="196">
        <f>H336+H337+H338+H339+H340</f>
        <v>150</v>
      </c>
      <c r="I334" s="59">
        <f t="shared" si="2"/>
        <v>150</v>
      </c>
    </row>
    <row r="335" spans="1:9" s="60" customFormat="1" ht="12.75">
      <c r="A335" s="58"/>
      <c r="B335" s="39"/>
      <c r="C335" s="240" t="s">
        <v>376</v>
      </c>
      <c r="D335" s="8" t="s">
        <v>125</v>
      </c>
      <c r="E335" s="519" t="s">
        <v>125</v>
      </c>
      <c r="F335" s="520"/>
      <c r="G335" s="521"/>
      <c r="H335" s="196" t="s">
        <v>125</v>
      </c>
      <c r="I335" s="59" t="str">
        <f t="shared" si="2"/>
        <v>-</v>
      </c>
    </row>
    <row r="336" spans="1:9" s="60" customFormat="1" ht="12.75">
      <c r="A336" s="58"/>
      <c r="B336" s="39"/>
      <c r="C336" s="240" t="s">
        <v>429</v>
      </c>
      <c r="D336" s="8" t="s">
        <v>315</v>
      </c>
      <c r="E336" s="519" t="s">
        <v>270</v>
      </c>
      <c r="F336" s="520"/>
      <c r="G336" s="521"/>
      <c r="H336" s="196">
        <v>20</v>
      </c>
      <c r="I336" s="59">
        <f t="shared" si="2"/>
        <v>20</v>
      </c>
    </row>
    <row r="337" spans="1:9" s="60" customFormat="1" ht="12.75">
      <c r="A337" s="58"/>
      <c r="B337" s="39"/>
      <c r="C337" s="240" t="s">
        <v>430</v>
      </c>
      <c r="D337" s="8" t="s">
        <v>315</v>
      </c>
      <c r="E337" s="519" t="s">
        <v>270</v>
      </c>
      <c r="F337" s="520"/>
      <c r="G337" s="521"/>
      <c r="H337" s="196">
        <v>25</v>
      </c>
      <c r="I337" s="59">
        <f t="shared" si="2"/>
        <v>25</v>
      </c>
    </row>
    <row r="338" spans="1:9" s="60" customFormat="1" ht="12.75">
      <c r="A338" s="58"/>
      <c r="B338" s="39"/>
      <c r="C338" s="240" t="s">
        <v>431</v>
      </c>
      <c r="D338" s="8" t="s">
        <v>315</v>
      </c>
      <c r="E338" s="519" t="s">
        <v>270</v>
      </c>
      <c r="F338" s="520"/>
      <c r="G338" s="521"/>
      <c r="H338" s="196">
        <v>5</v>
      </c>
      <c r="I338" s="59">
        <f t="shared" si="2"/>
        <v>5</v>
      </c>
    </row>
    <row r="339" spans="1:9" s="60" customFormat="1" ht="12.75">
      <c r="A339" s="58"/>
      <c r="B339" s="39"/>
      <c r="C339" s="240" t="s">
        <v>432</v>
      </c>
      <c r="D339" s="8" t="s">
        <v>315</v>
      </c>
      <c r="E339" s="519" t="s">
        <v>270</v>
      </c>
      <c r="F339" s="520"/>
      <c r="G339" s="521"/>
      <c r="H339" s="196">
        <v>35</v>
      </c>
      <c r="I339" s="59">
        <f t="shared" si="2"/>
        <v>35</v>
      </c>
    </row>
    <row r="340" spans="1:9" s="60" customFormat="1" ht="12.75">
      <c r="A340" s="58"/>
      <c r="B340" s="39"/>
      <c r="C340" s="240" t="s">
        <v>433</v>
      </c>
      <c r="D340" s="8" t="s">
        <v>315</v>
      </c>
      <c r="E340" s="519" t="s">
        <v>270</v>
      </c>
      <c r="F340" s="520"/>
      <c r="G340" s="521"/>
      <c r="H340" s="196">
        <v>65</v>
      </c>
      <c r="I340" s="59">
        <f>H340</f>
        <v>65</v>
      </c>
    </row>
    <row r="341" spans="1:9" s="60" customFormat="1" ht="12.75">
      <c r="A341" s="58"/>
      <c r="B341" s="39"/>
      <c r="C341" s="455" t="s">
        <v>434</v>
      </c>
      <c r="D341" s="456"/>
      <c r="E341" s="456"/>
      <c r="F341" s="456"/>
      <c r="G341" s="456"/>
      <c r="H341" s="456"/>
      <c r="I341" s="457"/>
    </row>
    <row r="342" spans="1:9" s="60" customFormat="1" ht="12.75">
      <c r="A342" s="58"/>
      <c r="B342" s="39"/>
      <c r="C342" s="61" t="s">
        <v>126</v>
      </c>
      <c r="D342" s="243" t="s">
        <v>125</v>
      </c>
      <c r="E342" s="516" t="s">
        <v>125</v>
      </c>
      <c r="F342" s="517"/>
      <c r="G342" s="518"/>
      <c r="H342" s="59"/>
      <c r="I342" s="59"/>
    </row>
    <row r="343" spans="1:9" s="60" customFormat="1" ht="12.75">
      <c r="A343" s="58"/>
      <c r="B343" s="39"/>
      <c r="C343" s="64" t="s">
        <v>149</v>
      </c>
      <c r="D343" s="243" t="s">
        <v>150</v>
      </c>
      <c r="E343" s="516" t="s">
        <v>128</v>
      </c>
      <c r="F343" s="517"/>
      <c r="G343" s="518"/>
      <c r="H343" s="59"/>
      <c r="I343" s="67">
        <f>G170</f>
        <v>890</v>
      </c>
    </row>
    <row r="344" spans="1:9" s="60" customFormat="1" ht="12.75">
      <c r="A344" s="58"/>
      <c r="B344" s="39"/>
      <c r="C344" s="61" t="s">
        <v>136</v>
      </c>
      <c r="D344" s="243" t="s">
        <v>125</v>
      </c>
      <c r="E344" s="516" t="s">
        <v>125</v>
      </c>
      <c r="F344" s="517"/>
      <c r="G344" s="518"/>
      <c r="H344" s="59"/>
      <c r="I344" s="59"/>
    </row>
    <row r="345" spans="1:9" s="60" customFormat="1" ht="12.75">
      <c r="A345" s="58"/>
      <c r="B345" s="39"/>
      <c r="C345" s="64" t="s">
        <v>151</v>
      </c>
      <c r="D345" s="243" t="s">
        <v>124</v>
      </c>
      <c r="E345" s="516" t="s">
        <v>128</v>
      </c>
      <c r="F345" s="517"/>
      <c r="G345" s="518"/>
      <c r="H345" s="59"/>
      <c r="I345" s="59">
        <v>9</v>
      </c>
    </row>
    <row r="346" spans="1:9" s="60" customFormat="1" ht="12.75">
      <c r="A346" s="58"/>
      <c r="B346" s="39"/>
      <c r="C346" s="61" t="s">
        <v>143</v>
      </c>
      <c r="D346" s="243" t="s">
        <v>125</v>
      </c>
      <c r="E346" s="516" t="s">
        <v>125</v>
      </c>
      <c r="F346" s="517"/>
      <c r="G346" s="518"/>
      <c r="H346" s="59"/>
      <c r="I346" s="59"/>
    </row>
    <row r="347" spans="1:9" s="60" customFormat="1" ht="12.75">
      <c r="A347" s="58"/>
      <c r="B347" s="39"/>
      <c r="C347" s="64" t="s">
        <v>318</v>
      </c>
      <c r="D347" s="243" t="s">
        <v>150</v>
      </c>
      <c r="E347" s="516" t="s">
        <v>146</v>
      </c>
      <c r="F347" s="517"/>
      <c r="G347" s="518"/>
      <c r="H347" s="59"/>
      <c r="I347" s="67">
        <f>I343/I345</f>
        <v>98.88888888888889</v>
      </c>
    </row>
    <row r="348" spans="1:9" s="60" customFormat="1" ht="12.75">
      <c r="A348" s="58"/>
      <c r="B348" s="39"/>
      <c r="C348" s="61" t="s">
        <v>147</v>
      </c>
      <c r="D348" s="243" t="s">
        <v>125</v>
      </c>
      <c r="E348" s="516" t="s">
        <v>125</v>
      </c>
      <c r="F348" s="517"/>
      <c r="G348" s="518"/>
      <c r="H348" s="59"/>
      <c r="I348" s="59"/>
    </row>
    <row r="349" spans="1:9" s="60" customFormat="1" ht="12.75">
      <c r="A349" s="58"/>
      <c r="B349" s="39"/>
      <c r="C349" s="64" t="s">
        <v>153</v>
      </c>
      <c r="D349" s="243" t="s">
        <v>123</v>
      </c>
      <c r="E349" s="516" t="s">
        <v>128</v>
      </c>
      <c r="F349" s="517"/>
      <c r="G349" s="518"/>
      <c r="H349" s="59"/>
      <c r="I349" s="59">
        <v>100</v>
      </c>
    </row>
    <row r="350" ht="12.75">
      <c r="A350" s="22"/>
    </row>
    <row r="351" spans="1:9" ht="30.75" customHeight="1">
      <c r="A351" s="444" t="s">
        <v>27</v>
      </c>
      <c r="B351" s="444"/>
      <c r="C351" s="444"/>
      <c r="D351" s="444"/>
      <c r="E351" s="444"/>
      <c r="F351" s="444"/>
      <c r="G351" s="444"/>
      <c r="H351" s="444"/>
      <c r="I351" s="444"/>
    </row>
    <row r="352" spans="1:9" ht="15">
      <c r="A352" s="446"/>
      <c r="B352" s="446"/>
      <c r="C352" s="446"/>
      <c r="D352" s="446"/>
      <c r="E352" s="446"/>
      <c r="F352" s="446"/>
      <c r="G352" s="446"/>
      <c r="H352" s="446"/>
      <c r="I352" s="446"/>
    </row>
    <row r="353" spans="1:9" ht="15">
      <c r="A353" s="446"/>
      <c r="B353" s="446"/>
      <c r="C353" s="446"/>
      <c r="D353" s="446"/>
      <c r="E353" s="446"/>
      <c r="F353" s="446"/>
      <c r="G353" s="446"/>
      <c r="H353" s="446"/>
      <c r="I353" s="446"/>
    </row>
    <row r="354" spans="1:9" ht="15">
      <c r="A354" s="442" t="s">
        <v>210</v>
      </c>
      <c r="B354" s="442"/>
      <c r="C354" s="442"/>
      <c r="D354" s="442"/>
      <c r="E354" s="442"/>
      <c r="F354" s="442"/>
      <c r="G354" s="442"/>
      <c r="H354" s="442"/>
      <c r="I354" s="442"/>
    </row>
    <row r="355" ht="12.75">
      <c r="I355" s="257" t="s">
        <v>4</v>
      </c>
    </row>
    <row r="356" spans="1:9" s="19" customFormat="1" ht="12.75">
      <c r="A356" s="443" t="s">
        <v>3</v>
      </c>
      <c r="B356" s="443"/>
      <c r="C356" s="23"/>
      <c r="D356" s="179"/>
      <c r="E356" s="18"/>
      <c r="F356" s="18"/>
      <c r="G356" s="18"/>
      <c r="H356" s="443"/>
      <c r="I356" s="443"/>
    </row>
    <row r="357" ht="12.75">
      <c r="A357" s="3"/>
    </row>
    <row r="358" spans="1:9" ht="21" customHeight="1">
      <c r="A358" s="444" t="s">
        <v>211</v>
      </c>
      <c r="B358" s="444"/>
      <c r="C358" s="444"/>
      <c r="D358" s="444"/>
      <c r="E358" s="444"/>
      <c r="F358" s="444"/>
      <c r="G358" s="444"/>
      <c r="H358" s="444"/>
      <c r="I358" s="444"/>
    </row>
    <row r="359" ht="12.75">
      <c r="I359" s="257" t="s">
        <v>4</v>
      </c>
    </row>
    <row r="360" spans="1:9" ht="36.75" customHeight="1">
      <c r="A360" s="441" t="s">
        <v>23</v>
      </c>
      <c r="B360" s="441"/>
      <c r="C360" s="441" t="s">
        <v>1</v>
      </c>
      <c r="D360" s="441" t="s">
        <v>7</v>
      </c>
      <c r="E360" s="441"/>
      <c r="F360" s="441" t="s">
        <v>178</v>
      </c>
      <c r="G360" s="441"/>
      <c r="H360" s="441" t="s">
        <v>212</v>
      </c>
      <c r="I360" s="441"/>
    </row>
    <row r="361" spans="1:9" ht="36" customHeight="1">
      <c r="A361" s="441"/>
      <c r="B361" s="441"/>
      <c r="C361" s="441"/>
      <c r="D361" s="14" t="s">
        <v>28</v>
      </c>
      <c r="E361" s="14" t="s">
        <v>36</v>
      </c>
      <c r="F361" s="14" t="s">
        <v>28</v>
      </c>
      <c r="G361" s="14" t="s">
        <v>36</v>
      </c>
      <c r="H361" s="441"/>
      <c r="I361" s="441"/>
    </row>
    <row r="362" spans="1:9" ht="13.5" thickBot="1">
      <c r="A362" s="445">
        <v>1</v>
      </c>
      <c r="B362" s="445"/>
      <c r="C362" s="17">
        <v>2</v>
      </c>
      <c r="D362" s="16">
        <v>3</v>
      </c>
      <c r="E362" s="16">
        <v>4</v>
      </c>
      <c r="F362" s="16">
        <v>5</v>
      </c>
      <c r="G362" s="16">
        <v>6</v>
      </c>
      <c r="H362" s="445">
        <v>7</v>
      </c>
      <c r="I362" s="445"/>
    </row>
    <row r="363" spans="1:9" ht="13.5" thickTop="1">
      <c r="A363" s="447"/>
      <c r="B363" s="447"/>
      <c r="C363" s="15"/>
      <c r="D363" s="25"/>
      <c r="E363" s="25"/>
      <c r="F363" s="25"/>
      <c r="G363" s="25"/>
      <c r="H363" s="440"/>
      <c r="I363" s="440"/>
    </row>
    <row r="364" spans="1:9" ht="12.75">
      <c r="A364" s="402"/>
      <c r="B364" s="402"/>
      <c r="C364" s="12"/>
      <c r="D364" s="11"/>
      <c r="E364" s="11"/>
      <c r="F364" s="11"/>
      <c r="G364" s="11"/>
      <c r="H364" s="427"/>
      <c r="I364" s="427"/>
    </row>
    <row r="365" spans="1:9" ht="12.75">
      <c r="A365" s="402"/>
      <c r="B365" s="402"/>
      <c r="C365" s="12"/>
      <c r="D365" s="11"/>
      <c r="E365" s="11"/>
      <c r="F365" s="11"/>
      <c r="G365" s="11"/>
      <c r="H365" s="427"/>
      <c r="I365" s="427"/>
    </row>
    <row r="366" spans="1:9" ht="12.75">
      <c r="A366" s="402"/>
      <c r="B366" s="402"/>
      <c r="C366" s="12"/>
      <c r="D366" s="11"/>
      <c r="E366" s="11"/>
      <c r="F366" s="11"/>
      <c r="G366" s="11"/>
      <c r="H366" s="427"/>
      <c r="I366" s="427"/>
    </row>
    <row r="367" spans="1:9" ht="12.75">
      <c r="A367" s="402"/>
      <c r="B367" s="402"/>
      <c r="C367" s="12"/>
      <c r="D367" s="11"/>
      <c r="E367" s="11"/>
      <c r="F367" s="11"/>
      <c r="G367" s="11"/>
      <c r="H367" s="427"/>
      <c r="I367" s="427"/>
    </row>
    <row r="368" ht="15" hidden="1">
      <c r="A368" s="1"/>
    </row>
    <row r="369" spans="1:9" ht="14.25" customHeight="1">
      <c r="A369" s="444" t="s">
        <v>25</v>
      </c>
      <c r="B369" s="444"/>
      <c r="C369" s="444"/>
      <c r="D369" s="444"/>
      <c r="E369" s="444"/>
      <c r="F369" s="444"/>
      <c r="G369" s="444"/>
      <c r="H369" s="444"/>
      <c r="I369" s="444"/>
    </row>
    <row r="370" spans="1:9" ht="72.75" customHeight="1">
      <c r="A370" s="14" t="s">
        <v>20</v>
      </c>
      <c r="B370" s="8" t="s">
        <v>0</v>
      </c>
      <c r="C370" s="14" t="s">
        <v>1</v>
      </c>
      <c r="D370" s="14" t="s">
        <v>14</v>
      </c>
      <c r="E370" s="14" t="s">
        <v>15</v>
      </c>
      <c r="F370" s="14" t="s">
        <v>29</v>
      </c>
      <c r="G370" s="14" t="s">
        <v>30</v>
      </c>
      <c r="H370" s="14" t="s">
        <v>31</v>
      </c>
      <c r="I370" s="14" t="s">
        <v>32</v>
      </c>
    </row>
    <row r="371" spans="1:9" ht="13.5" thickBot="1">
      <c r="A371" s="17">
        <v>1</v>
      </c>
      <c r="B371" s="17">
        <v>2</v>
      </c>
      <c r="C371" s="16">
        <v>3</v>
      </c>
      <c r="D371" s="16">
        <v>4</v>
      </c>
      <c r="E371" s="16">
        <v>5</v>
      </c>
      <c r="F371" s="16">
        <v>6</v>
      </c>
      <c r="G371" s="16">
        <v>7</v>
      </c>
      <c r="H371" s="16">
        <v>8</v>
      </c>
      <c r="I371" s="16">
        <v>9</v>
      </c>
    </row>
    <row r="372" spans="1:9" ht="13.5" hidden="1" thickTop="1">
      <c r="A372" s="24"/>
      <c r="B372" s="26"/>
      <c r="C372" s="26" t="s">
        <v>10</v>
      </c>
      <c r="D372" s="210"/>
      <c r="E372" s="24"/>
      <c r="F372" s="24"/>
      <c r="G372" s="24"/>
      <c r="H372" s="210"/>
      <c r="I372" s="210"/>
    </row>
    <row r="373" spans="1:9" ht="13.5" hidden="1" thickTop="1">
      <c r="A373" s="18"/>
      <c r="B373" s="12"/>
      <c r="C373" s="12" t="s">
        <v>26</v>
      </c>
      <c r="D373" s="179"/>
      <c r="E373" s="18"/>
      <c r="F373" s="18"/>
      <c r="G373" s="18"/>
      <c r="H373" s="179"/>
      <c r="I373" s="179"/>
    </row>
    <row r="374" spans="1:9" ht="13.5" hidden="1" thickTop="1">
      <c r="A374" s="18"/>
      <c r="B374" s="12"/>
      <c r="C374" s="12" t="s">
        <v>16</v>
      </c>
      <c r="D374" s="179"/>
      <c r="E374" s="18"/>
      <c r="F374" s="18"/>
      <c r="G374" s="18"/>
      <c r="H374" s="179"/>
      <c r="I374" s="179"/>
    </row>
    <row r="375" spans="1:9" ht="13.5" hidden="1" thickTop="1">
      <c r="A375" s="18"/>
      <c r="B375" s="12"/>
      <c r="C375" s="12" t="s">
        <v>2</v>
      </c>
      <c r="D375" s="179"/>
      <c r="E375" s="18"/>
      <c r="F375" s="18"/>
      <c r="G375" s="18"/>
      <c r="H375" s="179"/>
      <c r="I375" s="179"/>
    </row>
    <row r="376" spans="1:9" ht="13.5" hidden="1" thickTop="1">
      <c r="A376" s="18"/>
      <c r="B376" s="12"/>
      <c r="C376" s="12" t="s">
        <v>17</v>
      </c>
      <c r="D376" s="179"/>
      <c r="E376" s="18"/>
      <c r="F376" s="18"/>
      <c r="G376" s="18"/>
      <c r="H376" s="179"/>
      <c r="I376" s="179"/>
    </row>
    <row r="377" spans="1:9" ht="13.5" hidden="1" thickTop="1">
      <c r="A377" s="18"/>
      <c r="B377" s="12"/>
      <c r="C377" s="12" t="s">
        <v>2</v>
      </c>
      <c r="D377" s="179"/>
      <c r="E377" s="18"/>
      <c r="F377" s="18"/>
      <c r="G377" s="18"/>
      <c r="H377" s="179"/>
      <c r="I377" s="179"/>
    </row>
    <row r="378" spans="1:9" ht="13.5" hidden="1" thickTop="1">
      <c r="A378" s="18"/>
      <c r="B378" s="12"/>
      <c r="C378" s="12" t="s">
        <v>18</v>
      </c>
      <c r="D378" s="179"/>
      <c r="E378" s="18"/>
      <c r="F378" s="18"/>
      <c r="G378" s="18"/>
      <c r="H378" s="179"/>
      <c r="I378" s="179"/>
    </row>
    <row r="379" spans="1:9" ht="13.5" hidden="1" thickTop="1">
      <c r="A379" s="18"/>
      <c r="B379" s="12"/>
      <c r="C379" s="12" t="s">
        <v>33</v>
      </c>
      <c r="D379" s="179"/>
      <c r="E379" s="18"/>
      <c r="F379" s="18"/>
      <c r="G379" s="18"/>
      <c r="H379" s="179"/>
      <c r="I379" s="179"/>
    </row>
    <row r="380" spans="1:9" ht="13.5" hidden="1" thickTop="1">
      <c r="A380" s="18"/>
      <c r="B380" s="12"/>
      <c r="C380" s="12" t="s">
        <v>19</v>
      </c>
      <c r="D380" s="179"/>
      <c r="E380" s="18"/>
      <c r="F380" s="18"/>
      <c r="G380" s="18"/>
      <c r="H380" s="179"/>
      <c r="I380" s="179"/>
    </row>
    <row r="381" spans="1:9" ht="13.5" hidden="1" thickTop="1">
      <c r="A381" s="18"/>
      <c r="B381" s="12"/>
      <c r="C381" s="12" t="s">
        <v>2</v>
      </c>
      <c r="D381" s="179"/>
      <c r="E381" s="18"/>
      <c r="F381" s="18"/>
      <c r="G381" s="18"/>
      <c r="H381" s="179"/>
      <c r="I381" s="179"/>
    </row>
    <row r="382" spans="1:9" ht="13.5" hidden="1" thickTop="1">
      <c r="A382" s="18"/>
      <c r="B382" s="13"/>
      <c r="C382" s="13" t="s">
        <v>11</v>
      </c>
      <c r="D382" s="179"/>
      <c r="E382" s="18"/>
      <c r="F382" s="18"/>
      <c r="G382" s="18"/>
      <c r="H382" s="179"/>
      <c r="I382" s="179"/>
    </row>
    <row r="383" spans="1:9" ht="13.5" thickTop="1">
      <c r="A383" s="18"/>
      <c r="B383" s="12"/>
      <c r="C383" s="12" t="s">
        <v>2</v>
      </c>
      <c r="D383" s="179"/>
      <c r="E383" s="18"/>
      <c r="F383" s="18"/>
      <c r="G383" s="18"/>
      <c r="H383" s="179"/>
      <c r="I383" s="179"/>
    </row>
    <row r="384" ht="12.75">
      <c r="A384" s="22"/>
    </row>
    <row r="385" spans="1:9" ht="30.75" customHeight="1">
      <c r="A385" s="444" t="s">
        <v>34</v>
      </c>
      <c r="B385" s="444"/>
      <c r="C385" s="444"/>
      <c r="D385" s="444"/>
      <c r="E385" s="444"/>
      <c r="F385" s="444"/>
      <c r="G385" s="444"/>
      <c r="H385" s="444"/>
      <c r="I385" s="444"/>
    </row>
    <row r="386" spans="1:9" ht="4.5" customHeight="1">
      <c r="A386" s="446"/>
      <c r="B386" s="446"/>
      <c r="C386" s="446"/>
      <c r="D386" s="446"/>
      <c r="E386" s="446"/>
      <c r="F386" s="446"/>
      <c r="G386" s="446"/>
      <c r="H386" s="446"/>
      <c r="I386" s="446"/>
    </row>
    <row r="387" spans="1:9" ht="15">
      <c r="A387" s="442" t="s">
        <v>213</v>
      </c>
      <c r="B387" s="442"/>
      <c r="C387" s="442"/>
      <c r="D387" s="442"/>
      <c r="E387" s="442"/>
      <c r="F387" s="442"/>
      <c r="G387" s="442"/>
      <c r="H387" s="442"/>
      <c r="I387" s="442"/>
    </row>
    <row r="388" spans="1:9" ht="12.75">
      <c r="A388" s="2" t="s">
        <v>35</v>
      </c>
      <c r="I388" s="257" t="s">
        <v>4</v>
      </c>
    </row>
    <row r="389" spans="1:9" s="19" customFormat="1" ht="12.75">
      <c r="A389" s="443" t="s">
        <v>3</v>
      </c>
      <c r="B389" s="443"/>
      <c r="C389" s="23"/>
      <c r="D389" s="179"/>
      <c r="E389" s="18"/>
      <c r="F389" s="18"/>
      <c r="G389" s="18"/>
      <c r="H389" s="443"/>
      <c r="I389" s="443"/>
    </row>
    <row r="390" ht="6" customHeight="1">
      <c r="A390" s="4"/>
    </row>
    <row r="391" ht="12.75">
      <c r="A391" s="4"/>
    </row>
    <row r="392" spans="1:9" ht="18.75" customHeight="1">
      <c r="A392" s="393" t="s">
        <v>159</v>
      </c>
      <c r="B392" s="393"/>
      <c r="C392" s="393"/>
      <c r="E392" s="392" t="s">
        <v>8</v>
      </c>
      <c r="F392" s="392"/>
      <c r="H392" s="392" t="s">
        <v>108</v>
      </c>
      <c r="I392" s="392"/>
    </row>
    <row r="393" spans="1:9" ht="15">
      <c r="A393" s="5"/>
      <c r="B393" s="5"/>
      <c r="E393" s="431" t="s">
        <v>5</v>
      </c>
      <c r="F393" s="431"/>
      <c r="H393" s="431" t="s">
        <v>6</v>
      </c>
      <c r="I393" s="431"/>
    </row>
    <row r="394" spans="1:8" ht="12.75" customHeight="1">
      <c r="A394" s="10"/>
      <c r="B394" s="10"/>
      <c r="E394" s="9"/>
      <c r="H394" s="177"/>
    </row>
    <row r="395" spans="1:9" ht="18.75" customHeight="1">
      <c r="A395" s="393" t="s">
        <v>107</v>
      </c>
      <c r="B395" s="393"/>
      <c r="C395" s="393"/>
      <c r="E395" s="392" t="s">
        <v>8</v>
      </c>
      <c r="F395" s="392"/>
      <c r="H395" s="392" t="s">
        <v>109</v>
      </c>
      <c r="I395" s="392"/>
    </row>
    <row r="396" spans="1:9" ht="15">
      <c r="A396" s="5"/>
      <c r="E396" s="431" t="s">
        <v>5</v>
      </c>
      <c r="F396" s="431"/>
      <c r="H396" s="431" t="s">
        <v>6</v>
      </c>
      <c r="I396" s="431"/>
    </row>
    <row r="397" ht="12.75">
      <c r="A397" s="4"/>
    </row>
    <row r="398" ht="12.75">
      <c r="A398" s="4"/>
    </row>
  </sheetData>
  <sheetProtection/>
  <mergeCells count="317">
    <mergeCell ref="A1:I1"/>
    <mergeCell ref="A3:I3"/>
    <mergeCell ref="A4:I4"/>
    <mergeCell ref="B5:J5"/>
    <mergeCell ref="B6:J6"/>
    <mergeCell ref="B12:I12"/>
    <mergeCell ref="A14:B15"/>
    <mergeCell ref="C14:C15"/>
    <mergeCell ref="D14:D15"/>
    <mergeCell ref="E14:E15"/>
    <mergeCell ref="F14:G14"/>
    <mergeCell ref="H14:I15"/>
    <mergeCell ref="A16:B16"/>
    <mergeCell ref="H16:I16"/>
    <mergeCell ref="H132:I132"/>
    <mergeCell ref="H133:I133"/>
    <mergeCell ref="H25:I25"/>
    <mergeCell ref="H26:I26"/>
    <mergeCell ref="H27:I27"/>
    <mergeCell ref="H28:I28"/>
    <mergeCell ref="H29:I30"/>
    <mergeCell ref="H36:I36"/>
    <mergeCell ref="H139:I139"/>
    <mergeCell ref="H140:I140"/>
    <mergeCell ref="H141:I141"/>
    <mergeCell ref="H134:I138"/>
    <mergeCell ref="H142:I142"/>
    <mergeCell ref="H145:I145"/>
    <mergeCell ref="H146:I146"/>
    <mergeCell ref="H147:I147"/>
    <mergeCell ref="H143:I144"/>
    <mergeCell ref="H148:I148"/>
    <mergeCell ref="H149:I149"/>
    <mergeCell ref="H150:I150"/>
    <mergeCell ref="H151:I151"/>
    <mergeCell ref="H152:I152"/>
    <mergeCell ref="H153:I153"/>
    <mergeCell ref="H154:I154"/>
    <mergeCell ref="H155:I155"/>
    <mergeCell ref="H156:I156"/>
    <mergeCell ref="H157:I157"/>
    <mergeCell ref="H158:I158"/>
    <mergeCell ref="H159:I159"/>
    <mergeCell ref="H160:I160"/>
    <mergeCell ref="H161:I161"/>
    <mergeCell ref="H162:I162"/>
    <mergeCell ref="H163:I163"/>
    <mergeCell ref="H164:I164"/>
    <mergeCell ref="H165:I165"/>
    <mergeCell ref="H166:I166"/>
    <mergeCell ref="H167:I167"/>
    <mergeCell ref="H171:I171"/>
    <mergeCell ref="H168:I170"/>
    <mergeCell ref="H172:I172"/>
    <mergeCell ref="H173:I173"/>
    <mergeCell ref="H174:I174"/>
    <mergeCell ref="H175:I175"/>
    <mergeCell ref="H176:I176"/>
    <mergeCell ref="H177:I177"/>
    <mergeCell ref="A190:I190"/>
    <mergeCell ref="E202:G202"/>
    <mergeCell ref="E196:G196"/>
    <mergeCell ref="E199:G199"/>
    <mergeCell ref="H178:I178"/>
    <mergeCell ref="H179:I179"/>
    <mergeCell ref="H180:I180"/>
    <mergeCell ref="H181:I181"/>
    <mergeCell ref="H182:I182"/>
    <mergeCell ref="H183:I183"/>
    <mergeCell ref="E221:G221"/>
    <mergeCell ref="E220:G220"/>
    <mergeCell ref="E219:G219"/>
    <mergeCell ref="E218:G218"/>
    <mergeCell ref="E205:G205"/>
    <mergeCell ref="H184:I184"/>
    <mergeCell ref="H185:I185"/>
    <mergeCell ref="H186:I186"/>
    <mergeCell ref="H187:I187"/>
    <mergeCell ref="H188:I188"/>
    <mergeCell ref="E225:G225"/>
    <mergeCell ref="E224:G224"/>
    <mergeCell ref="E223:G223"/>
    <mergeCell ref="E222:G222"/>
    <mergeCell ref="E227:G227"/>
    <mergeCell ref="E191:G191"/>
    <mergeCell ref="E192:G192"/>
    <mergeCell ref="E193:G193"/>
    <mergeCell ref="C195:I195"/>
    <mergeCell ref="C194:I194"/>
    <mergeCell ref="E207:G207"/>
    <mergeCell ref="E206:G206"/>
    <mergeCell ref="E200:G200"/>
    <mergeCell ref="E268:G268"/>
    <mergeCell ref="E204:G204"/>
    <mergeCell ref="E203:G203"/>
    <mergeCell ref="E217:G217"/>
    <mergeCell ref="E216:G216"/>
    <mergeCell ref="E215:G215"/>
    <mergeCell ref="E214:G214"/>
    <mergeCell ref="E241:G241"/>
    <mergeCell ref="E240:G240"/>
    <mergeCell ref="E239:G239"/>
    <mergeCell ref="E238:G238"/>
    <mergeCell ref="E210:G210"/>
    <mergeCell ref="E244:G244"/>
    <mergeCell ref="E213:G213"/>
    <mergeCell ref="E212:G212"/>
    <mergeCell ref="E211:G211"/>
    <mergeCell ref="E226:G226"/>
    <mergeCell ref="A352:I352"/>
    <mergeCell ref="A353:I353"/>
    <mergeCell ref="A354:I354"/>
    <mergeCell ref="A356:B356"/>
    <mergeCell ref="H356:I356"/>
    <mergeCell ref="C265:I265"/>
    <mergeCell ref="A351:I351"/>
    <mergeCell ref="E292:G292"/>
    <mergeCell ref="E291:G291"/>
    <mergeCell ref="E290:G290"/>
    <mergeCell ref="A358:I358"/>
    <mergeCell ref="A360:B361"/>
    <mergeCell ref="C360:C361"/>
    <mergeCell ref="D360:E360"/>
    <mergeCell ref="F360:G360"/>
    <mergeCell ref="H360:I361"/>
    <mergeCell ref="A362:B362"/>
    <mergeCell ref="H362:I362"/>
    <mergeCell ref="A363:B363"/>
    <mergeCell ref="H363:I363"/>
    <mergeCell ref="A364:B364"/>
    <mergeCell ref="H364:I364"/>
    <mergeCell ref="A365:B365"/>
    <mergeCell ref="H365:I365"/>
    <mergeCell ref="A366:B366"/>
    <mergeCell ref="H366:I366"/>
    <mergeCell ref="A367:B367"/>
    <mergeCell ref="H367:I367"/>
    <mergeCell ref="A369:I369"/>
    <mergeCell ref="A385:I385"/>
    <mergeCell ref="A386:I386"/>
    <mergeCell ref="A387:I387"/>
    <mergeCell ref="A389:B389"/>
    <mergeCell ref="H389:I389"/>
    <mergeCell ref="A392:C392"/>
    <mergeCell ref="E392:F392"/>
    <mergeCell ref="H392:I392"/>
    <mergeCell ref="E393:F393"/>
    <mergeCell ref="H393:I393"/>
    <mergeCell ref="A395:C395"/>
    <mergeCell ref="E395:F395"/>
    <mergeCell ref="H395:I395"/>
    <mergeCell ref="E396:F396"/>
    <mergeCell ref="H396:I396"/>
    <mergeCell ref="H17:I17"/>
    <mergeCell ref="H18:I18"/>
    <mergeCell ref="H19:I19"/>
    <mergeCell ref="H31:I31"/>
    <mergeCell ref="H32:I32"/>
    <mergeCell ref="H33:I33"/>
    <mergeCell ref="H34:I34"/>
    <mergeCell ref="H35:I35"/>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7:I57"/>
    <mergeCell ref="H58:I58"/>
    <mergeCell ref="H54:I56"/>
    <mergeCell ref="H59:I59"/>
    <mergeCell ref="H60:I60"/>
    <mergeCell ref="H61:I61"/>
    <mergeCell ref="H62:I62"/>
    <mergeCell ref="H63:I63"/>
    <mergeCell ref="H64:I64"/>
    <mergeCell ref="H65:I65"/>
    <mergeCell ref="H66:I66"/>
    <mergeCell ref="H67:I67"/>
    <mergeCell ref="H68:I68"/>
    <mergeCell ref="H69:I69"/>
    <mergeCell ref="H70:I70"/>
    <mergeCell ref="H71:I71"/>
    <mergeCell ref="H72:I72"/>
    <mergeCell ref="H73:I73"/>
    <mergeCell ref="H74:I74"/>
    <mergeCell ref="H75:I75"/>
    <mergeCell ref="H76:I131"/>
    <mergeCell ref="H20:I24"/>
    <mergeCell ref="E201:G201"/>
    <mergeCell ref="E243:G243"/>
    <mergeCell ref="E242:G242"/>
    <mergeCell ref="E231:G231"/>
    <mergeCell ref="E230:G230"/>
    <mergeCell ref="E198:G198"/>
    <mergeCell ref="E209:G209"/>
    <mergeCell ref="E208:G208"/>
    <mergeCell ref="E229:G229"/>
    <mergeCell ref="E228:G228"/>
    <mergeCell ref="E197:G197"/>
    <mergeCell ref="E246:G246"/>
    <mergeCell ref="C264:I264"/>
    <mergeCell ref="E235:G235"/>
    <mergeCell ref="E234:G234"/>
    <mergeCell ref="E233:G233"/>
    <mergeCell ref="E232:G232"/>
    <mergeCell ref="E259:G259"/>
    <mergeCell ref="E256:G256"/>
    <mergeCell ref="E257:G257"/>
    <mergeCell ref="E258:G258"/>
    <mergeCell ref="E237:G237"/>
    <mergeCell ref="E236:G236"/>
    <mergeCell ref="E245:G245"/>
    <mergeCell ref="E249:G249"/>
    <mergeCell ref="E248:G248"/>
    <mergeCell ref="E247:G247"/>
    <mergeCell ref="E251:G251"/>
    <mergeCell ref="E250:G250"/>
    <mergeCell ref="E263:G263"/>
    <mergeCell ref="E262:G262"/>
    <mergeCell ref="E261:G261"/>
    <mergeCell ref="E260:G260"/>
    <mergeCell ref="C255:I255"/>
    <mergeCell ref="E254:G254"/>
    <mergeCell ref="E253:G253"/>
    <mergeCell ref="E252:G252"/>
    <mergeCell ref="E272:G272"/>
    <mergeCell ref="E271:G271"/>
    <mergeCell ref="E270:G270"/>
    <mergeCell ref="E279:G279"/>
    <mergeCell ref="E278:G278"/>
    <mergeCell ref="E277:G277"/>
    <mergeCell ref="E298:G298"/>
    <mergeCell ref="E274:G274"/>
    <mergeCell ref="E273:G273"/>
    <mergeCell ref="E289:G289"/>
    <mergeCell ref="E288:G288"/>
    <mergeCell ref="E287:G287"/>
    <mergeCell ref="E286:G286"/>
    <mergeCell ref="E285:G285"/>
    <mergeCell ref="E284:G284"/>
    <mergeCell ref="E280:G280"/>
    <mergeCell ref="E267:G267"/>
    <mergeCell ref="E266:G266"/>
    <mergeCell ref="E297:G297"/>
    <mergeCell ref="E296:G296"/>
    <mergeCell ref="E295:G295"/>
    <mergeCell ref="E294:G294"/>
    <mergeCell ref="E293:G293"/>
    <mergeCell ref="E283:G283"/>
    <mergeCell ref="E282:G282"/>
    <mergeCell ref="E281:G281"/>
    <mergeCell ref="E310:G310"/>
    <mergeCell ref="E309:G309"/>
    <mergeCell ref="E269:G269"/>
    <mergeCell ref="E276:G276"/>
    <mergeCell ref="E275:G275"/>
    <mergeCell ref="E303:G303"/>
    <mergeCell ref="E302:G302"/>
    <mergeCell ref="E301:G301"/>
    <mergeCell ref="E300:G300"/>
    <mergeCell ref="E299:G299"/>
    <mergeCell ref="E308:G308"/>
    <mergeCell ref="E307:G307"/>
    <mergeCell ref="E306:G306"/>
    <mergeCell ref="E305:G305"/>
    <mergeCell ref="E304:G304"/>
    <mergeCell ref="C315:I315"/>
    <mergeCell ref="E314:G314"/>
    <mergeCell ref="E313:G313"/>
    <mergeCell ref="E312:G312"/>
    <mergeCell ref="E311:G311"/>
    <mergeCell ref="C316:I316"/>
    <mergeCell ref="E329:G329"/>
    <mergeCell ref="E328:G328"/>
    <mergeCell ref="E327:G327"/>
    <mergeCell ref="E326:G326"/>
    <mergeCell ref="E325:G325"/>
    <mergeCell ref="E324:G324"/>
    <mergeCell ref="E323:G323"/>
    <mergeCell ref="E322:G322"/>
    <mergeCell ref="E321:G321"/>
    <mergeCell ref="E320:G320"/>
    <mergeCell ref="E319:G319"/>
    <mergeCell ref="E318:G318"/>
    <mergeCell ref="E317:G317"/>
    <mergeCell ref="E340:G340"/>
    <mergeCell ref="E339:G339"/>
    <mergeCell ref="E338:G338"/>
    <mergeCell ref="E337:G337"/>
    <mergeCell ref="E336:G336"/>
    <mergeCell ref="E335:G335"/>
    <mergeCell ref="E334:G334"/>
    <mergeCell ref="E333:G333"/>
    <mergeCell ref="E332:G332"/>
    <mergeCell ref="E331:G331"/>
    <mergeCell ref="E330:G330"/>
    <mergeCell ref="C341:I341"/>
    <mergeCell ref="E343:G343"/>
    <mergeCell ref="E342:G342"/>
    <mergeCell ref="E349:G349"/>
    <mergeCell ref="E348:G348"/>
    <mergeCell ref="E347:G347"/>
    <mergeCell ref="E346:G346"/>
    <mergeCell ref="E345:G345"/>
    <mergeCell ref="E344:G344"/>
  </mergeCells>
  <printOptions horizontalCentered="1"/>
  <pageMargins left="0.2362204724409449" right="0.15748031496062992" top="0.1968503937007874" bottom="0.15748031496062992" header="0.1968503937007874" footer="0.11811023622047245"/>
  <pageSetup fitToHeight="0" fitToWidth="1"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1:J182"/>
  <sheetViews>
    <sheetView view="pageBreakPreview" zoomScale="90" zoomScaleSheetLayoutView="90" zoomScalePageLayoutView="0" workbookViewId="0" topLeftCell="B1">
      <selection activeCell="F46" sqref="F46"/>
    </sheetView>
  </sheetViews>
  <sheetFormatPr defaultColWidth="9.00390625" defaultRowHeight="12.75"/>
  <cols>
    <col min="1" max="1" width="6.375" style="0" hidden="1" customWidth="1"/>
    <col min="2" max="2" width="7.625" style="0" customWidth="1"/>
    <col min="3" max="3" width="84.50390625" style="0" customWidth="1"/>
    <col min="4" max="4" width="8.375" style="0" customWidth="1"/>
    <col min="5" max="6" width="8.50390625" style="0" customWidth="1"/>
    <col min="7" max="7" width="11.375" style="0" customWidth="1"/>
    <col min="8" max="8" width="32.50390625" style="0" customWidth="1"/>
    <col min="9" max="9" width="32.375" style="0" customWidth="1"/>
    <col min="10" max="10" width="10.50390625" style="0" customWidth="1"/>
  </cols>
  <sheetData>
    <row r="1" spans="1:9" s="60" customFormat="1" ht="21" thickBot="1">
      <c r="A1" s="432" t="s">
        <v>217</v>
      </c>
      <c r="B1" s="432"/>
      <c r="C1" s="432"/>
      <c r="D1" s="432"/>
      <c r="E1" s="432"/>
      <c r="F1" s="432"/>
      <c r="G1" s="432"/>
      <c r="H1" s="432"/>
      <c r="I1" s="432"/>
    </row>
    <row r="2" s="60" customFormat="1" ht="9.75" customHeight="1" thickTop="1">
      <c r="A2" s="70"/>
    </row>
    <row r="3" spans="1:9" s="60" customFormat="1" ht="15">
      <c r="A3" s="433" t="s">
        <v>160</v>
      </c>
      <c r="B3" s="433"/>
      <c r="C3" s="433"/>
      <c r="D3" s="433"/>
      <c r="E3" s="433"/>
      <c r="F3" s="433"/>
      <c r="G3" s="433"/>
      <c r="H3" s="433"/>
      <c r="I3" s="433"/>
    </row>
    <row r="4" spans="1:9" s="60" customFormat="1" ht="12" customHeight="1">
      <c r="A4" s="434" t="s">
        <v>206</v>
      </c>
      <c r="B4" s="434"/>
      <c r="C4" s="434"/>
      <c r="D4" s="434"/>
      <c r="E4" s="434"/>
      <c r="F4" s="434"/>
      <c r="G4" s="434"/>
      <c r="H4" s="434"/>
      <c r="I4" s="434"/>
    </row>
    <row r="5" spans="1:10" s="60" customFormat="1" ht="12" customHeight="1">
      <c r="A5" s="112"/>
      <c r="B5" s="433" t="s">
        <v>205</v>
      </c>
      <c r="C5" s="433"/>
      <c r="D5" s="433"/>
      <c r="E5" s="433"/>
      <c r="F5" s="433"/>
      <c r="G5" s="433"/>
      <c r="H5" s="433"/>
      <c r="I5" s="433"/>
      <c r="J5" s="433"/>
    </row>
    <row r="6" spans="1:10" s="60" customFormat="1" ht="12" customHeight="1">
      <c r="A6" s="112"/>
      <c r="B6" s="434" t="s">
        <v>207</v>
      </c>
      <c r="C6" s="434"/>
      <c r="D6" s="434"/>
      <c r="E6" s="434"/>
      <c r="F6" s="434"/>
      <c r="G6" s="434"/>
      <c r="H6" s="434"/>
      <c r="I6" s="434"/>
      <c r="J6" s="434"/>
    </row>
    <row r="7" spans="1:9" s="60" customFormat="1" ht="12" customHeight="1">
      <c r="A7" s="112"/>
      <c r="B7" s="119"/>
      <c r="C7" s="116"/>
      <c r="D7" s="116"/>
      <c r="E7" s="116"/>
      <c r="F7" s="116"/>
      <c r="G7" s="116"/>
      <c r="H7" s="116"/>
      <c r="I7" s="116"/>
    </row>
    <row r="8" spans="1:9" s="60" customFormat="1" ht="12" customHeight="1">
      <c r="A8" s="112"/>
      <c r="B8" s="115" t="s">
        <v>248</v>
      </c>
      <c r="C8" s="116"/>
      <c r="D8" s="116"/>
      <c r="E8" s="116"/>
      <c r="F8" s="116"/>
      <c r="G8" s="116"/>
      <c r="H8" s="116"/>
      <c r="I8" s="116"/>
    </row>
    <row r="9" spans="1:9" s="60" customFormat="1" ht="12" customHeight="1">
      <c r="A9" s="112"/>
      <c r="B9" s="117"/>
      <c r="C9" s="118" t="s">
        <v>201</v>
      </c>
      <c r="D9" s="116"/>
      <c r="E9" s="120" t="s">
        <v>202</v>
      </c>
      <c r="F9" s="116"/>
      <c r="H9" s="116"/>
      <c r="I9" s="116"/>
    </row>
    <row r="10" spans="1:9" s="60" customFormat="1" ht="12" customHeight="1">
      <c r="A10" s="112"/>
      <c r="B10" s="121"/>
      <c r="C10" s="121"/>
      <c r="D10" s="121"/>
      <c r="E10" s="121"/>
      <c r="F10" s="121"/>
      <c r="G10" s="121"/>
      <c r="H10" s="121"/>
      <c r="I10" s="121"/>
    </row>
    <row r="11" spans="1:9" s="60" customFormat="1" ht="12" customHeight="1">
      <c r="A11" s="112"/>
      <c r="B11" s="115" t="s">
        <v>203</v>
      </c>
      <c r="C11" s="115"/>
      <c r="D11" s="115"/>
      <c r="E11" s="115"/>
      <c r="F11" s="115"/>
      <c r="G11" s="115"/>
      <c r="H11" s="115"/>
      <c r="I11" s="115"/>
    </row>
    <row r="12" spans="1:9" s="60" customFormat="1" ht="12" customHeight="1">
      <c r="A12" s="112"/>
      <c r="B12" s="400" t="s">
        <v>204</v>
      </c>
      <c r="C12" s="400"/>
      <c r="D12" s="400"/>
      <c r="E12" s="400"/>
      <c r="F12" s="400"/>
      <c r="G12" s="400"/>
      <c r="H12" s="400"/>
      <c r="I12" s="400"/>
    </row>
    <row r="13" s="60" customFormat="1" ht="12.75">
      <c r="I13" s="71" t="s">
        <v>4</v>
      </c>
    </row>
    <row r="14" spans="1:9" s="60" customFormat="1" ht="12.75">
      <c r="A14" s="417" t="s">
        <v>23</v>
      </c>
      <c r="B14" s="417"/>
      <c r="C14" s="417" t="s">
        <v>1</v>
      </c>
      <c r="D14" s="417" t="s">
        <v>175</v>
      </c>
      <c r="E14" s="417" t="s">
        <v>176</v>
      </c>
      <c r="F14" s="417" t="s">
        <v>177</v>
      </c>
      <c r="G14" s="417"/>
      <c r="H14" s="417" t="s">
        <v>208</v>
      </c>
      <c r="I14" s="417"/>
    </row>
    <row r="15" spans="1:9" s="60" customFormat="1" ht="27" customHeight="1">
      <c r="A15" s="417"/>
      <c r="B15" s="417"/>
      <c r="C15" s="417"/>
      <c r="D15" s="417"/>
      <c r="E15" s="417"/>
      <c r="F15" s="111" t="s">
        <v>24</v>
      </c>
      <c r="G15" s="111" t="s">
        <v>36</v>
      </c>
      <c r="H15" s="417"/>
      <c r="I15" s="417"/>
    </row>
    <row r="16" spans="1:9" s="60" customFormat="1" ht="13.5" thickBot="1">
      <c r="A16" s="415">
        <v>1</v>
      </c>
      <c r="B16" s="415"/>
      <c r="C16" s="113">
        <v>2</v>
      </c>
      <c r="D16" s="113">
        <v>3</v>
      </c>
      <c r="E16" s="113">
        <v>4</v>
      </c>
      <c r="F16" s="113">
        <v>5</v>
      </c>
      <c r="G16" s="113">
        <v>6</v>
      </c>
      <c r="H16" s="416">
        <v>7</v>
      </c>
      <c r="I16" s="416"/>
    </row>
    <row r="17" spans="2:9" s="165" customFormat="1" ht="13.5" thickTop="1">
      <c r="B17" s="169">
        <f>'2019-3 СВОД'!B1081</f>
        <v>1115050</v>
      </c>
      <c r="C17" s="169" t="str">
        <f>'2019-3 СВОД'!C1081</f>
        <v>Програма Фінансова підтримка фізкультурно-спортивного руху</v>
      </c>
      <c r="D17" s="166">
        <f>D19+D54</f>
        <v>1936.1</v>
      </c>
      <c r="E17" s="166">
        <f>E19+E54</f>
        <v>2116.1</v>
      </c>
      <c r="F17" s="166">
        <f>F19+F54</f>
        <v>2324.4</v>
      </c>
      <c r="G17" s="166">
        <f>G19+G54</f>
        <v>896.9000000000001</v>
      </c>
      <c r="H17" s="428"/>
      <c r="I17" s="428"/>
    </row>
    <row r="18" spans="2:9" s="156" customFormat="1" ht="26.25">
      <c r="B18" s="154">
        <f>'2019-3 СВОД'!B1082</f>
        <v>1115053</v>
      </c>
      <c r="C18" s="154" t="str">
        <f>'2019-3 СВОД'!C1082</f>
        <v>Підпрограма Фінансова підтримка місцевих осередків (рад) всеукраїнських організацій фізкультурно-спортивної спрямованості</v>
      </c>
      <c r="D18" s="124">
        <f>D19+D54</f>
        <v>1936.1</v>
      </c>
      <c r="E18" s="124">
        <f>E19+E54</f>
        <v>2116.1</v>
      </c>
      <c r="F18" s="124">
        <f>F19+F54</f>
        <v>2324.4</v>
      </c>
      <c r="G18" s="124">
        <f>G19+G54</f>
        <v>896.9000000000001</v>
      </c>
      <c r="H18" s="464"/>
      <c r="I18" s="465"/>
    </row>
    <row r="19" spans="1:9" ht="12.75" customHeight="1">
      <c r="A19" s="6"/>
      <c r="B19" s="27">
        <v>2000</v>
      </c>
      <c r="C19" s="28" t="s">
        <v>37</v>
      </c>
      <c r="D19" s="33">
        <f>D20+D25+D42+D45+D49+D53</f>
        <v>1936.1</v>
      </c>
      <c r="E19" s="33">
        <f>E20+E25+E42+E45+E49+E53</f>
        <v>2116.1</v>
      </c>
      <c r="F19" s="33">
        <f>F20+F25+F42+F45+F49+F53</f>
        <v>2324.4</v>
      </c>
      <c r="G19" s="33">
        <f>G20+G25+G42+G45+G49+G53</f>
        <v>896.9000000000001</v>
      </c>
      <c r="H19" s="403" t="s">
        <v>616</v>
      </c>
      <c r="I19" s="404"/>
    </row>
    <row r="20" spans="1:9" ht="12.75" customHeight="1" hidden="1">
      <c r="A20" s="6"/>
      <c r="B20" s="29">
        <v>2100</v>
      </c>
      <c r="C20" s="30" t="s">
        <v>38</v>
      </c>
      <c r="D20" s="35">
        <f>D21+D24</f>
        <v>0</v>
      </c>
      <c r="E20" s="35">
        <f>E21+E24</f>
        <v>0</v>
      </c>
      <c r="F20" s="35">
        <f>F21+F24</f>
        <v>0</v>
      </c>
      <c r="G20" s="35">
        <f>G21+G24</f>
        <v>0</v>
      </c>
      <c r="H20" s="405"/>
      <c r="I20" s="406"/>
    </row>
    <row r="21" spans="1:9" ht="12.75" customHeight="1" hidden="1">
      <c r="A21" s="6"/>
      <c r="B21" s="29">
        <v>2110</v>
      </c>
      <c r="C21" s="30" t="s">
        <v>39</v>
      </c>
      <c r="D21" s="35">
        <f>D22+D23</f>
        <v>0</v>
      </c>
      <c r="E21" s="35">
        <f>E22+E23</f>
        <v>0</v>
      </c>
      <c r="F21" s="35">
        <f>F22+F23</f>
        <v>0</v>
      </c>
      <c r="G21" s="35">
        <f>G22+G23</f>
        <v>0</v>
      </c>
      <c r="H21" s="405"/>
      <c r="I21" s="406"/>
    </row>
    <row r="22" spans="1:9" ht="12.75" customHeight="1" hidden="1">
      <c r="A22" s="6"/>
      <c r="B22" s="29">
        <v>2111</v>
      </c>
      <c r="C22" s="30" t="s">
        <v>42</v>
      </c>
      <c r="D22" s="34"/>
      <c r="E22" s="34"/>
      <c r="F22" s="34"/>
      <c r="G22" s="34"/>
      <c r="H22" s="405"/>
      <c r="I22" s="406"/>
    </row>
    <row r="23" spans="1:9" ht="12.75" customHeight="1" hidden="1">
      <c r="A23" s="6"/>
      <c r="B23" s="29">
        <v>2112</v>
      </c>
      <c r="C23" s="30" t="s">
        <v>43</v>
      </c>
      <c r="D23" s="34"/>
      <c r="E23" s="34"/>
      <c r="F23" s="34"/>
      <c r="G23" s="34"/>
      <c r="H23" s="405"/>
      <c r="I23" s="406"/>
    </row>
    <row r="24" spans="1:9" ht="12.75" customHeight="1" hidden="1">
      <c r="A24" s="6"/>
      <c r="B24" s="29">
        <v>2120</v>
      </c>
      <c r="C24" s="30" t="s">
        <v>44</v>
      </c>
      <c r="D24" s="34"/>
      <c r="E24" s="34"/>
      <c r="F24" s="34"/>
      <c r="G24" s="34"/>
      <c r="H24" s="405"/>
      <c r="I24" s="406"/>
    </row>
    <row r="25" spans="1:9" ht="12.75" customHeight="1" hidden="1">
      <c r="A25" s="6"/>
      <c r="B25" s="27">
        <v>2200</v>
      </c>
      <c r="C25" s="28" t="s">
        <v>45</v>
      </c>
      <c r="D25" s="33">
        <f>SUM(D26:D32)+D39</f>
        <v>0</v>
      </c>
      <c r="E25" s="33">
        <f>SUM(E26:E32)+E39</f>
        <v>0</v>
      </c>
      <c r="F25" s="33">
        <f>SUM(F26:F32)+F39</f>
        <v>0</v>
      </c>
      <c r="G25" s="33">
        <f>SUM(G26:G32)+G39</f>
        <v>0</v>
      </c>
      <c r="H25" s="405"/>
      <c r="I25" s="406"/>
    </row>
    <row r="26" spans="1:9" ht="12.75" customHeight="1" hidden="1">
      <c r="A26" s="6"/>
      <c r="B26" s="29">
        <v>2210</v>
      </c>
      <c r="C26" s="30" t="s">
        <v>46</v>
      </c>
      <c r="D26" s="34"/>
      <c r="E26" s="34"/>
      <c r="F26" s="34"/>
      <c r="G26" s="34"/>
      <c r="H26" s="405"/>
      <c r="I26" s="406"/>
    </row>
    <row r="27" spans="1:9" ht="12.75" customHeight="1" hidden="1">
      <c r="A27" s="6"/>
      <c r="B27" s="29">
        <v>2220</v>
      </c>
      <c r="C27" s="30" t="s">
        <v>47</v>
      </c>
      <c r="D27" s="34"/>
      <c r="E27" s="34"/>
      <c r="F27" s="34"/>
      <c r="G27" s="34"/>
      <c r="H27" s="405"/>
      <c r="I27" s="406"/>
    </row>
    <row r="28" spans="1:9" ht="12.75" customHeight="1" hidden="1">
      <c r="A28" s="6"/>
      <c r="B28" s="29">
        <v>2230</v>
      </c>
      <c r="C28" s="30" t="s">
        <v>48</v>
      </c>
      <c r="D28" s="34"/>
      <c r="E28" s="34"/>
      <c r="F28" s="34"/>
      <c r="G28" s="34"/>
      <c r="H28" s="405"/>
      <c r="I28" s="406"/>
    </row>
    <row r="29" spans="1:9" ht="12.75" customHeight="1" hidden="1">
      <c r="A29" s="6"/>
      <c r="B29" s="29">
        <v>2240</v>
      </c>
      <c r="C29" s="30" t="s">
        <v>49</v>
      </c>
      <c r="D29" s="34"/>
      <c r="E29" s="34"/>
      <c r="F29" s="34"/>
      <c r="G29" s="34"/>
      <c r="H29" s="405"/>
      <c r="I29" s="406"/>
    </row>
    <row r="30" spans="1:9" ht="12.75" customHeight="1" hidden="1">
      <c r="A30" s="6"/>
      <c r="B30" s="29">
        <v>2250</v>
      </c>
      <c r="C30" s="30" t="s">
        <v>50</v>
      </c>
      <c r="D30" s="34"/>
      <c r="E30" s="34"/>
      <c r="F30" s="34"/>
      <c r="G30" s="34"/>
      <c r="H30" s="405"/>
      <c r="I30" s="406"/>
    </row>
    <row r="31" spans="1:9" ht="12.75" customHeight="1" hidden="1">
      <c r="A31" s="6"/>
      <c r="B31" s="29">
        <v>2260</v>
      </c>
      <c r="C31" s="30" t="s">
        <v>51</v>
      </c>
      <c r="D31" s="34"/>
      <c r="E31" s="34"/>
      <c r="F31" s="34"/>
      <c r="G31" s="34"/>
      <c r="H31" s="405"/>
      <c r="I31" s="406"/>
    </row>
    <row r="32" spans="1:9" ht="12.75" customHeight="1" hidden="1">
      <c r="A32" s="6"/>
      <c r="B32" s="27">
        <v>2270</v>
      </c>
      <c r="C32" s="28" t="s">
        <v>52</v>
      </c>
      <c r="D32" s="33">
        <f>D33+D34+D35+D36+D37+D38</f>
        <v>0</v>
      </c>
      <c r="E32" s="33">
        <f>E33+E34+E35+E36+E37+E38</f>
        <v>0</v>
      </c>
      <c r="F32" s="33">
        <f>F33+F34+F35+F36+F37+F38</f>
        <v>0</v>
      </c>
      <c r="G32" s="33">
        <f>G33+G34+G35+G36+G37+G38</f>
        <v>0</v>
      </c>
      <c r="H32" s="405"/>
      <c r="I32" s="406"/>
    </row>
    <row r="33" spans="1:9" ht="12.75" customHeight="1" hidden="1">
      <c r="A33" s="6"/>
      <c r="B33" s="29">
        <v>2271</v>
      </c>
      <c r="C33" s="30" t="s">
        <v>53</v>
      </c>
      <c r="D33" s="34"/>
      <c r="E33" s="34"/>
      <c r="F33" s="34"/>
      <c r="G33" s="34"/>
      <c r="H33" s="405"/>
      <c r="I33" s="406"/>
    </row>
    <row r="34" spans="1:9" ht="12.75" customHeight="1" hidden="1">
      <c r="A34" s="6"/>
      <c r="B34" s="29">
        <v>2272</v>
      </c>
      <c r="C34" s="30" t="s">
        <v>54</v>
      </c>
      <c r="D34" s="34"/>
      <c r="E34" s="34"/>
      <c r="F34" s="34"/>
      <c r="G34" s="34"/>
      <c r="H34" s="405"/>
      <c r="I34" s="406"/>
    </row>
    <row r="35" spans="1:9" ht="12.75" customHeight="1" hidden="1">
      <c r="A35" s="6"/>
      <c r="B35" s="29">
        <v>2273</v>
      </c>
      <c r="C35" s="30" t="s">
        <v>55</v>
      </c>
      <c r="D35" s="34"/>
      <c r="E35" s="34"/>
      <c r="F35" s="34"/>
      <c r="G35" s="34"/>
      <c r="H35" s="405"/>
      <c r="I35" s="406"/>
    </row>
    <row r="36" spans="1:9" ht="12.75" customHeight="1" hidden="1">
      <c r="A36" s="6"/>
      <c r="B36" s="29">
        <v>2274</v>
      </c>
      <c r="C36" s="30" t="s">
        <v>56</v>
      </c>
      <c r="D36" s="34"/>
      <c r="E36" s="34"/>
      <c r="F36" s="34"/>
      <c r="G36" s="34"/>
      <c r="H36" s="405"/>
      <c r="I36" s="406"/>
    </row>
    <row r="37" spans="1:9" ht="12.75" customHeight="1" hidden="1">
      <c r="A37" s="6"/>
      <c r="B37" s="29">
        <v>2275</v>
      </c>
      <c r="C37" s="30" t="s">
        <v>57</v>
      </c>
      <c r="D37" s="34"/>
      <c r="E37" s="34"/>
      <c r="F37" s="34"/>
      <c r="G37" s="34"/>
      <c r="H37" s="405"/>
      <c r="I37" s="406"/>
    </row>
    <row r="38" spans="1:9" ht="12.75" customHeight="1" hidden="1">
      <c r="A38" s="6"/>
      <c r="B38" s="31">
        <v>2276</v>
      </c>
      <c r="C38" s="32" t="s">
        <v>58</v>
      </c>
      <c r="D38" s="34"/>
      <c r="E38" s="34"/>
      <c r="F38" s="34"/>
      <c r="G38" s="34"/>
      <c r="H38" s="405"/>
      <c r="I38" s="406"/>
    </row>
    <row r="39" spans="1:9" ht="12.75" customHeight="1" hidden="1">
      <c r="A39" s="6"/>
      <c r="B39" s="27">
        <v>2280</v>
      </c>
      <c r="C39" s="28" t="s">
        <v>59</v>
      </c>
      <c r="D39" s="33">
        <f>D40+D41</f>
        <v>0</v>
      </c>
      <c r="E39" s="33">
        <f>E40+E41</f>
        <v>0</v>
      </c>
      <c r="F39" s="33">
        <f>F40+F41</f>
        <v>0</v>
      </c>
      <c r="G39" s="33">
        <f>G40+G41</f>
        <v>0</v>
      </c>
      <c r="H39" s="405"/>
      <c r="I39" s="406"/>
    </row>
    <row r="40" spans="1:9" ht="12.75" customHeight="1" hidden="1">
      <c r="A40" s="6"/>
      <c r="B40" s="29">
        <v>2281</v>
      </c>
      <c r="C40" s="30" t="s">
        <v>60</v>
      </c>
      <c r="D40" s="34"/>
      <c r="E40" s="34"/>
      <c r="F40" s="34"/>
      <c r="G40" s="34"/>
      <c r="H40" s="405"/>
      <c r="I40" s="406"/>
    </row>
    <row r="41" spans="1:9" ht="12.75" customHeight="1" hidden="1">
      <c r="A41" s="6"/>
      <c r="B41" s="29">
        <v>2282</v>
      </c>
      <c r="C41" s="30" t="s">
        <v>61</v>
      </c>
      <c r="D41" s="34"/>
      <c r="E41" s="34"/>
      <c r="F41" s="34"/>
      <c r="G41" s="34"/>
      <c r="H41" s="405"/>
      <c r="I41" s="406"/>
    </row>
    <row r="42" spans="1:9" ht="12.75" customHeight="1" hidden="1">
      <c r="A42" s="6"/>
      <c r="B42" s="27">
        <v>2400</v>
      </c>
      <c r="C42" s="28" t="s">
        <v>62</v>
      </c>
      <c r="D42" s="34">
        <f>D43+D44</f>
        <v>0</v>
      </c>
      <c r="E42" s="34">
        <f>E43+E44</f>
        <v>0</v>
      </c>
      <c r="F42" s="34">
        <f>F43+F44</f>
        <v>0</v>
      </c>
      <c r="G42" s="34">
        <f>G43+G44</f>
        <v>0</v>
      </c>
      <c r="H42" s="405"/>
      <c r="I42" s="406"/>
    </row>
    <row r="43" spans="1:9" ht="12.75" customHeight="1" hidden="1">
      <c r="A43" s="6"/>
      <c r="B43" s="29">
        <v>2410</v>
      </c>
      <c r="C43" s="30" t="s">
        <v>63</v>
      </c>
      <c r="D43" s="34"/>
      <c r="E43" s="34"/>
      <c r="F43" s="34"/>
      <c r="G43" s="34"/>
      <c r="H43" s="405"/>
      <c r="I43" s="406"/>
    </row>
    <row r="44" spans="1:9" ht="12.75" customHeight="1" hidden="1">
      <c r="A44" s="6"/>
      <c r="B44" s="29">
        <v>2420</v>
      </c>
      <c r="C44" s="30" t="s">
        <v>64</v>
      </c>
      <c r="D44" s="34"/>
      <c r="E44" s="34"/>
      <c r="F44" s="34"/>
      <c r="G44" s="34"/>
      <c r="H44" s="405"/>
      <c r="I44" s="406"/>
    </row>
    <row r="45" spans="1:9" ht="18" customHeight="1">
      <c r="A45" s="6"/>
      <c r="B45" s="27">
        <v>2600</v>
      </c>
      <c r="C45" s="28" t="s">
        <v>65</v>
      </c>
      <c r="D45" s="33">
        <f>D46+D47+D48</f>
        <v>1936.1</v>
      </c>
      <c r="E45" s="33">
        <f>E46+E47+E48</f>
        <v>2116.1</v>
      </c>
      <c r="F45" s="33">
        <f>F46+F47+F48</f>
        <v>2324.4</v>
      </c>
      <c r="G45" s="33">
        <f>G46+G47+G48</f>
        <v>896.9000000000001</v>
      </c>
      <c r="H45" s="405"/>
      <c r="I45" s="406"/>
    </row>
    <row r="46" spans="1:10" ht="18.75" customHeight="1">
      <c r="A46" s="6"/>
      <c r="B46" s="29">
        <v>2610</v>
      </c>
      <c r="C46" s="30" t="s">
        <v>66</v>
      </c>
      <c r="D46" s="34">
        <f>'2019-3 СВОД'!D1110</f>
        <v>1936.1</v>
      </c>
      <c r="E46" s="34">
        <f>'2019-3 СВОД'!E1110</f>
        <v>2116.1</v>
      </c>
      <c r="F46" s="34">
        <f>'2019-3 СВОД'!F1110</f>
        <v>2324.4</v>
      </c>
      <c r="G46" s="34">
        <f>'2019-3 СВОД'!G1110</f>
        <v>896.9000000000001</v>
      </c>
      <c r="H46" s="405"/>
      <c r="I46" s="406"/>
      <c r="J46" s="52">
        <f>G46-896.9</f>
        <v>0</v>
      </c>
    </row>
    <row r="47" spans="1:9" ht="12.75" customHeight="1" hidden="1">
      <c r="A47" s="6"/>
      <c r="B47" s="29">
        <v>2620</v>
      </c>
      <c r="C47" s="30" t="s">
        <v>67</v>
      </c>
      <c r="D47" s="34"/>
      <c r="E47" s="34"/>
      <c r="F47" s="34"/>
      <c r="G47" s="34"/>
      <c r="H47" s="405"/>
      <c r="I47" s="406"/>
    </row>
    <row r="48" spans="1:9" ht="12.75" customHeight="1" hidden="1">
      <c r="A48" s="6"/>
      <c r="B48" s="29">
        <v>2630</v>
      </c>
      <c r="C48" s="30" t="s">
        <v>68</v>
      </c>
      <c r="D48" s="34"/>
      <c r="E48" s="34"/>
      <c r="F48" s="34"/>
      <c r="G48" s="34"/>
      <c r="H48" s="405"/>
      <c r="I48" s="406"/>
    </row>
    <row r="49" spans="1:9" ht="12.75" customHeight="1" hidden="1">
      <c r="A49" s="6"/>
      <c r="B49" s="27">
        <v>2700</v>
      </c>
      <c r="C49" s="28" t="s">
        <v>69</v>
      </c>
      <c r="D49" s="33">
        <f>D50+D51+D52</f>
        <v>0</v>
      </c>
      <c r="E49" s="33">
        <f>E50+E51+E52</f>
        <v>0</v>
      </c>
      <c r="F49" s="33">
        <f>F50+F51+F52</f>
        <v>0</v>
      </c>
      <c r="G49" s="33">
        <f>G50+G51+G52</f>
        <v>0</v>
      </c>
      <c r="H49" s="405"/>
      <c r="I49" s="406"/>
    </row>
    <row r="50" spans="1:9" ht="12.75" customHeight="1" hidden="1">
      <c r="A50" s="6"/>
      <c r="B50" s="29">
        <v>2710</v>
      </c>
      <c r="C50" s="30" t="s">
        <v>70</v>
      </c>
      <c r="D50" s="42"/>
      <c r="E50" s="42"/>
      <c r="F50" s="42"/>
      <c r="G50" s="42"/>
      <c r="H50" s="405"/>
      <c r="I50" s="406"/>
    </row>
    <row r="51" spans="1:9" ht="12.75" customHeight="1" hidden="1">
      <c r="A51" s="6"/>
      <c r="B51" s="29">
        <v>2720</v>
      </c>
      <c r="C51" s="30" t="s">
        <v>71</v>
      </c>
      <c r="D51" s="42"/>
      <c r="E51" s="42"/>
      <c r="F51" s="34"/>
      <c r="G51" s="42"/>
      <c r="H51" s="405"/>
      <c r="I51" s="406"/>
    </row>
    <row r="52" spans="1:9" ht="12.75" customHeight="1" hidden="1">
      <c r="A52" s="6"/>
      <c r="B52" s="29">
        <v>2730</v>
      </c>
      <c r="C52" s="30" t="s">
        <v>72</v>
      </c>
      <c r="D52" s="42"/>
      <c r="E52" s="42"/>
      <c r="F52" s="34"/>
      <c r="G52" s="42"/>
      <c r="H52" s="405"/>
      <c r="I52" s="406"/>
    </row>
    <row r="53" spans="1:9" ht="12.75" customHeight="1" hidden="1">
      <c r="A53" s="6"/>
      <c r="B53" s="27">
        <v>2800</v>
      </c>
      <c r="C53" s="28" t="s">
        <v>73</v>
      </c>
      <c r="D53" s="42"/>
      <c r="E53" s="42"/>
      <c r="F53" s="34"/>
      <c r="G53" s="42"/>
      <c r="H53" s="405"/>
      <c r="I53" s="406"/>
    </row>
    <row r="54" spans="1:9" ht="12.75" customHeight="1" hidden="1">
      <c r="A54" s="21"/>
      <c r="B54" s="27">
        <v>3000</v>
      </c>
      <c r="C54" s="28" t="s">
        <v>40</v>
      </c>
      <c r="D54" s="40">
        <f>D55+D69</f>
        <v>0</v>
      </c>
      <c r="E54" s="40">
        <f>E55+E69</f>
        <v>0</v>
      </c>
      <c r="F54" s="40">
        <f>F55+F69</f>
        <v>0</v>
      </c>
      <c r="G54" s="40">
        <f>G55+G69</f>
        <v>0</v>
      </c>
      <c r="H54" s="405"/>
      <c r="I54" s="406"/>
    </row>
    <row r="55" spans="1:9" ht="12.75" customHeight="1" hidden="1">
      <c r="A55" s="21"/>
      <c r="B55" s="27">
        <v>3100</v>
      </c>
      <c r="C55" s="28" t="s">
        <v>41</v>
      </c>
      <c r="D55" s="40">
        <f>D56+D57+D60+D63+D67+D68+D69</f>
        <v>0</v>
      </c>
      <c r="E55" s="40">
        <f>E56+E57+E60+E63+E67+E68+E69</f>
        <v>0</v>
      </c>
      <c r="F55" s="40">
        <f>F56+F57+F60+F63+F67+F68+F69</f>
        <v>0</v>
      </c>
      <c r="G55" s="40">
        <f>G56+G57+G60+G63+G67+G68+G69</f>
        <v>0</v>
      </c>
      <c r="H55" s="405"/>
      <c r="I55" s="406"/>
    </row>
    <row r="56" spans="1:9" ht="12.75" customHeight="1" hidden="1">
      <c r="A56" s="21"/>
      <c r="B56" s="29">
        <v>3110</v>
      </c>
      <c r="C56" s="30" t="s">
        <v>74</v>
      </c>
      <c r="D56" s="41"/>
      <c r="E56" s="41"/>
      <c r="F56" s="41"/>
      <c r="G56" s="41"/>
      <c r="H56" s="405"/>
      <c r="I56" s="406"/>
    </row>
    <row r="57" spans="1:9" ht="12.75" customHeight="1" hidden="1">
      <c r="A57" s="21"/>
      <c r="B57" s="29">
        <v>3120</v>
      </c>
      <c r="C57" s="30" t="s">
        <v>75</v>
      </c>
      <c r="D57" s="40">
        <f>D58+D59</f>
        <v>0</v>
      </c>
      <c r="E57" s="40">
        <f>E58+E59</f>
        <v>0</v>
      </c>
      <c r="F57" s="40">
        <f>F58+F59</f>
        <v>0</v>
      </c>
      <c r="G57" s="40">
        <f>G58+G59</f>
        <v>0</v>
      </c>
      <c r="H57" s="405"/>
      <c r="I57" s="406"/>
    </row>
    <row r="58" spans="1:9" ht="12.75" customHeight="1" hidden="1">
      <c r="A58" s="21"/>
      <c r="B58" s="29">
        <v>3121</v>
      </c>
      <c r="C58" s="30" t="s">
        <v>76</v>
      </c>
      <c r="D58" s="41"/>
      <c r="E58" s="41"/>
      <c r="F58" s="41"/>
      <c r="G58" s="41"/>
      <c r="H58" s="405"/>
      <c r="I58" s="406"/>
    </row>
    <row r="59" spans="1:9" ht="12.75" customHeight="1" hidden="1">
      <c r="A59" s="21"/>
      <c r="B59" s="29">
        <v>3122</v>
      </c>
      <c r="C59" s="30" t="s">
        <v>77</v>
      </c>
      <c r="D59" s="41"/>
      <c r="E59" s="41"/>
      <c r="F59" s="41"/>
      <c r="G59" s="41"/>
      <c r="H59" s="405"/>
      <c r="I59" s="406"/>
    </row>
    <row r="60" spans="1:9" ht="12.75" customHeight="1" hidden="1">
      <c r="A60" s="21"/>
      <c r="B60" s="29">
        <v>3130</v>
      </c>
      <c r="C60" s="30" t="s">
        <v>78</v>
      </c>
      <c r="D60" s="40">
        <f>D61+D62</f>
        <v>0</v>
      </c>
      <c r="E60" s="40">
        <f>E61+E62</f>
        <v>0</v>
      </c>
      <c r="F60" s="40">
        <f>F61+F62</f>
        <v>0</v>
      </c>
      <c r="G60" s="40">
        <f>G61+G62</f>
        <v>0</v>
      </c>
      <c r="H60" s="405"/>
      <c r="I60" s="406"/>
    </row>
    <row r="61" spans="1:9" ht="12.75" customHeight="1" hidden="1">
      <c r="A61" s="21"/>
      <c r="B61" s="29">
        <v>3131</v>
      </c>
      <c r="C61" s="30" t="s">
        <v>79</v>
      </c>
      <c r="D61" s="41"/>
      <c r="E61" s="41"/>
      <c r="F61" s="41"/>
      <c r="G61" s="41"/>
      <c r="H61" s="405"/>
      <c r="I61" s="406"/>
    </row>
    <row r="62" spans="1:9" ht="12.75" customHeight="1" hidden="1">
      <c r="A62" s="21"/>
      <c r="B62" s="29">
        <v>3132</v>
      </c>
      <c r="C62" s="30" t="s">
        <v>80</v>
      </c>
      <c r="D62" s="41"/>
      <c r="E62" s="41"/>
      <c r="F62" s="41"/>
      <c r="G62" s="41"/>
      <c r="H62" s="405"/>
      <c r="I62" s="406"/>
    </row>
    <row r="63" spans="1:9" ht="12.75" customHeight="1" hidden="1">
      <c r="A63" s="21"/>
      <c r="B63" s="29">
        <v>3140</v>
      </c>
      <c r="C63" s="30" t="s">
        <v>81</v>
      </c>
      <c r="D63" s="40">
        <f>D64+D65+D66</f>
        <v>0</v>
      </c>
      <c r="E63" s="40">
        <f>E64+E65+E66</f>
        <v>0</v>
      </c>
      <c r="F63" s="40">
        <f>F64+F65+F66</f>
        <v>0</v>
      </c>
      <c r="G63" s="40">
        <f>G64+G65+G66</f>
        <v>0</v>
      </c>
      <c r="H63" s="405"/>
      <c r="I63" s="406"/>
    </row>
    <row r="64" spans="1:9" ht="12.75" customHeight="1" hidden="1">
      <c r="A64" s="21"/>
      <c r="B64" s="29">
        <v>3141</v>
      </c>
      <c r="C64" s="30" t="s">
        <v>82</v>
      </c>
      <c r="D64" s="41"/>
      <c r="E64" s="41"/>
      <c r="F64" s="41"/>
      <c r="G64" s="41"/>
      <c r="H64" s="405"/>
      <c r="I64" s="406"/>
    </row>
    <row r="65" spans="1:9" ht="12.75" customHeight="1" hidden="1">
      <c r="A65" s="21"/>
      <c r="B65" s="29">
        <v>3142</v>
      </c>
      <c r="C65" s="30" t="s">
        <v>83</v>
      </c>
      <c r="D65" s="41"/>
      <c r="E65" s="41"/>
      <c r="F65" s="41"/>
      <c r="G65" s="41"/>
      <c r="H65" s="405"/>
      <c r="I65" s="406"/>
    </row>
    <row r="66" spans="1:9" ht="12.75" customHeight="1" hidden="1">
      <c r="A66" s="21"/>
      <c r="B66" s="29">
        <v>3143</v>
      </c>
      <c r="C66" s="30" t="s">
        <v>84</v>
      </c>
      <c r="D66" s="41"/>
      <c r="E66" s="41"/>
      <c r="F66" s="41"/>
      <c r="G66" s="41"/>
      <c r="H66" s="405"/>
      <c r="I66" s="406"/>
    </row>
    <row r="67" spans="1:9" ht="12.75" customHeight="1" hidden="1">
      <c r="A67" s="21"/>
      <c r="B67" s="29">
        <v>3150</v>
      </c>
      <c r="C67" s="30" t="s">
        <v>85</v>
      </c>
      <c r="D67" s="41"/>
      <c r="E67" s="41"/>
      <c r="F67" s="41"/>
      <c r="G67" s="41"/>
      <c r="H67" s="405"/>
      <c r="I67" s="406"/>
    </row>
    <row r="68" spans="1:9" ht="12.75" customHeight="1" hidden="1">
      <c r="A68" s="21"/>
      <c r="B68" s="29">
        <v>3160</v>
      </c>
      <c r="C68" s="30" t="s">
        <v>86</v>
      </c>
      <c r="D68" s="41"/>
      <c r="E68" s="41"/>
      <c r="F68" s="41"/>
      <c r="G68" s="41"/>
      <c r="H68" s="405"/>
      <c r="I68" s="406"/>
    </row>
    <row r="69" spans="1:9" ht="12.75" customHeight="1" hidden="1">
      <c r="A69" s="21"/>
      <c r="B69" s="27">
        <v>3200</v>
      </c>
      <c r="C69" s="28" t="s">
        <v>87</v>
      </c>
      <c r="D69" s="40">
        <f>D70+D71+D72+D73</f>
        <v>0</v>
      </c>
      <c r="E69" s="40">
        <f>E70+E71+E72+E73</f>
        <v>0</v>
      </c>
      <c r="F69" s="40">
        <f>F70+F71+F72+F73</f>
        <v>0</v>
      </c>
      <c r="G69" s="40">
        <f>G70+G71+G72+G73</f>
        <v>0</v>
      </c>
      <c r="H69" s="405"/>
      <c r="I69" s="406"/>
    </row>
    <row r="70" spans="1:9" ht="12.75" customHeight="1" hidden="1">
      <c r="A70" s="21"/>
      <c r="B70" s="29">
        <v>3210</v>
      </c>
      <c r="C70" s="30" t="s">
        <v>88</v>
      </c>
      <c r="D70" s="41"/>
      <c r="E70" s="41"/>
      <c r="F70" s="41"/>
      <c r="G70" s="41"/>
      <c r="H70" s="405"/>
      <c r="I70" s="406"/>
    </row>
    <row r="71" spans="1:9" ht="12.75" customHeight="1" hidden="1">
      <c r="A71" s="21"/>
      <c r="B71" s="29">
        <v>3220</v>
      </c>
      <c r="C71" s="30" t="s">
        <v>89</v>
      </c>
      <c r="D71" s="41"/>
      <c r="E71" s="41"/>
      <c r="F71" s="41"/>
      <c r="G71" s="41"/>
      <c r="H71" s="405"/>
      <c r="I71" s="406"/>
    </row>
    <row r="72" spans="1:9" ht="12.75" customHeight="1" hidden="1">
      <c r="A72" s="21"/>
      <c r="B72" s="29">
        <v>3230</v>
      </c>
      <c r="C72" s="30" t="s">
        <v>90</v>
      </c>
      <c r="D72" s="41"/>
      <c r="E72" s="41"/>
      <c r="F72" s="41"/>
      <c r="G72" s="41"/>
      <c r="H72" s="405"/>
      <c r="I72" s="406"/>
    </row>
    <row r="73" spans="1:9" ht="12.75" hidden="1">
      <c r="A73" s="21"/>
      <c r="B73" s="29">
        <v>3240</v>
      </c>
      <c r="C73" s="30" t="s">
        <v>91</v>
      </c>
      <c r="D73" s="41"/>
      <c r="E73" s="41"/>
      <c r="F73" s="41"/>
      <c r="G73" s="41"/>
      <c r="H73" s="405"/>
      <c r="I73" s="406"/>
    </row>
    <row r="74" spans="1:9" s="19" customFormat="1" ht="13.5" customHeight="1">
      <c r="A74" s="7"/>
      <c r="B74" s="7"/>
      <c r="C74" s="20" t="s">
        <v>3</v>
      </c>
      <c r="D74" s="34">
        <f>D19+D54</f>
        <v>1936.1</v>
      </c>
      <c r="E74" s="34">
        <f>E19+E54</f>
        <v>2116.1</v>
      </c>
      <c r="F74" s="34">
        <f>F19+F54</f>
        <v>2324.4</v>
      </c>
      <c r="G74" s="34">
        <f>G19+G54</f>
        <v>896.9000000000001</v>
      </c>
      <c r="H74" s="407"/>
      <c r="I74" s="408"/>
    </row>
    <row r="75" spans="1:8" ht="15">
      <c r="A75" s="115" t="s">
        <v>209</v>
      </c>
      <c r="B75" s="115" t="s">
        <v>209</v>
      </c>
      <c r="C75" s="115"/>
      <c r="D75" s="115"/>
      <c r="E75" s="115"/>
      <c r="F75" s="115"/>
      <c r="G75" s="115"/>
      <c r="H75" s="121"/>
    </row>
    <row r="76" spans="1:9" ht="15" customHeight="1">
      <c r="A76" s="444" t="s">
        <v>25</v>
      </c>
      <c r="B76" s="444"/>
      <c r="C76" s="444"/>
      <c r="D76" s="444"/>
      <c r="E76" s="444"/>
      <c r="F76" s="444"/>
      <c r="G76" s="444"/>
      <c r="H76" s="444"/>
      <c r="I76" s="444"/>
    </row>
    <row r="77" spans="1:9" ht="30" customHeight="1">
      <c r="A77" s="14" t="s">
        <v>20</v>
      </c>
      <c r="B77" s="8" t="s">
        <v>0</v>
      </c>
      <c r="C77" s="14" t="s">
        <v>1</v>
      </c>
      <c r="D77" s="14" t="s">
        <v>14</v>
      </c>
      <c r="E77" s="441" t="s">
        <v>15</v>
      </c>
      <c r="F77" s="441"/>
      <c r="G77" s="441"/>
      <c r="H77" s="14" t="s">
        <v>214</v>
      </c>
      <c r="I77" s="14" t="s">
        <v>215</v>
      </c>
    </row>
    <row r="78" spans="1:9" ht="13.5" thickBot="1">
      <c r="A78" s="17">
        <v>1</v>
      </c>
      <c r="B78" s="17">
        <v>1</v>
      </c>
      <c r="C78" s="38">
        <v>2</v>
      </c>
      <c r="D78" s="38">
        <v>3</v>
      </c>
      <c r="E78" s="427">
        <v>4</v>
      </c>
      <c r="F78" s="427"/>
      <c r="G78" s="427"/>
      <c r="H78" s="38">
        <v>5</v>
      </c>
      <c r="I78" s="38">
        <v>6</v>
      </c>
    </row>
    <row r="79" spans="1:9" s="55" customFormat="1" ht="13.5" thickTop="1">
      <c r="A79" s="54"/>
      <c r="B79" s="167">
        <f>B17</f>
        <v>1115050</v>
      </c>
      <c r="C79" s="169" t="str">
        <f>C17</f>
        <v>Програма Фінансова підтримка фізкультурно-спортивного руху</v>
      </c>
      <c r="D79" s="114"/>
      <c r="E79" s="451"/>
      <c r="F79" s="451"/>
      <c r="G79" s="451"/>
      <c r="H79" s="114"/>
      <c r="I79" s="114"/>
    </row>
    <row r="80" spans="1:9" s="153" customFormat="1" ht="26.25">
      <c r="A80" s="68"/>
      <c r="B80" s="69">
        <f>B18</f>
        <v>1115053</v>
      </c>
      <c r="C80" s="213" t="str">
        <f>C18</f>
        <v>Підпрограма Фінансова підтримка місцевих осередків (рад) всеукраїнських організацій фізкультурно-спортивної спрямованості</v>
      </c>
      <c r="D80" s="214"/>
      <c r="E80" s="214"/>
      <c r="F80" s="214"/>
      <c r="G80" s="214"/>
      <c r="H80" s="214"/>
      <c r="I80" s="181"/>
    </row>
    <row r="81" spans="1:9" s="153" customFormat="1" ht="12.75">
      <c r="A81" s="68"/>
      <c r="B81" s="69"/>
      <c r="C81" s="455" t="s">
        <v>374</v>
      </c>
      <c r="D81" s="456"/>
      <c r="E81" s="456"/>
      <c r="F81" s="456"/>
      <c r="G81" s="456"/>
      <c r="H81" s="456"/>
      <c r="I81" s="457"/>
    </row>
    <row r="82" spans="1:9" s="78" customFormat="1" ht="12.75">
      <c r="A82" s="175"/>
      <c r="B82" s="189"/>
      <c r="C82" s="228" t="s">
        <v>126</v>
      </c>
      <c r="D82" s="229" t="s">
        <v>125</v>
      </c>
      <c r="E82" s="533" t="s">
        <v>125</v>
      </c>
      <c r="F82" s="534"/>
      <c r="G82" s="534"/>
      <c r="H82" s="215"/>
      <c r="I82" s="216"/>
    </row>
    <row r="83" spans="1:9" s="78" customFormat="1" ht="24">
      <c r="A83" s="175"/>
      <c r="B83" s="189"/>
      <c r="C83" s="230" t="s">
        <v>375</v>
      </c>
      <c r="D83" s="231" t="s">
        <v>124</v>
      </c>
      <c r="E83" s="535" t="s">
        <v>128</v>
      </c>
      <c r="F83" s="535"/>
      <c r="G83" s="535"/>
      <c r="H83" s="195">
        <f>H85+H86+H87+H88</f>
        <v>2</v>
      </c>
      <c r="I83" s="195">
        <f>I85+I86+I87+I88</f>
        <v>4</v>
      </c>
    </row>
    <row r="84" spans="1:9" s="78" customFormat="1" ht="12.75">
      <c r="A84" s="175"/>
      <c r="B84" s="189"/>
      <c r="C84" s="232" t="s">
        <v>376</v>
      </c>
      <c r="D84" s="233" t="s">
        <v>125</v>
      </c>
      <c r="E84" s="531" t="s">
        <v>125</v>
      </c>
      <c r="F84" s="531"/>
      <c r="G84" s="531"/>
      <c r="H84" s="195"/>
      <c r="I84" s="225"/>
    </row>
    <row r="85" spans="1:9" s="78" customFormat="1" ht="12.75">
      <c r="A85" s="175"/>
      <c r="B85" s="189"/>
      <c r="C85" s="230" t="s">
        <v>377</v>
      </c>
      <c r="D85" s="231" t="s">
        <v>124</v>
      </c>
      <c r="E85" s="535" t="s">
        <v>128</v>
      </c>
      <c r="F85" s="535"/>
      <c r="G85" s="535"/>
      <c r="H85" s="195">
        <v>1</v>
      </c>
      <c r="I85" s="225">
        <v>1</v>
      </c>
    </row>
    <row r="86" spans="1:9" s="78" customFormat="1" ht="12.75">
      <c r="A86" s="175"/>
      <c r="B86" s="189"/>
      <c r="C86" s="230" t="s">
        <v>378</v>
      </c>
      <c r="D86" s="231" t="s">
        <v>124</v>
      </c>
      <c r="E86" s="535" t="s">
        <v>128</v>
      </c>
      <c r="F86" s="535"/>
      <c r="G86" s="535"/>
      <c r="H86" s="195">
        <v>1</v>
      </c>
      <c r="I86" s="225">
        <v>1</v>
      </c>
    </row>
    <row r="87" spans="1:9" s="78" customFormat="1" ht="12.75">
      <c r="A87" s="175"/>
      <c r="B87" s="189"/>
      <c r="C87" s="230" t="s">
        <v>379</v>
      </c>
      <c r="D87" s="231" t="s">
        <v>124</v>
      </c>
      <c r="E87" s="535" t="s">
        <v>128</v>
      </c>
      <c r="F87" s="535"/>
      <c r="G87" s="535"/>
      <c r="H87" s="195"/>
      <c r="I87" s="225">
        <v>1</v>
      </c>
    </row>
    <row r="88" spans="1:9" s="78" customFormat="1" ht="12.75">
      <c r="A88" s="175"/>
      <c r="B88" s="189"/>
      <c r="C88" s="230" t="s">
        <v>380</v>
      </c>
      <c r="D88" s="231" t="s">
        <v>124</v>
      </c>
      <c r="E88" s="535" t="s">
        <v>128</v>
      </c>
      <c r="F88" s="535"/>
      <c r="G88" s="535"/>
      <c r="H88" s="195"/>
      <c r="I88" s="225">
        <v>1</v>
      </c>
    </row>
    <row r="89" spans="1:9" s="78" customFormat="1" ht="24">
      <c r="A89" s="175"/>
      <c r="B89" s="189"/>
      <c r="C89" s="230" t="s">
        <v>381</v>
      </c>
      <c r="D89" s="231" t="s">
        <v>138</v>
      </c>
      <c r="E89" s="535" t="s">
        <v>130</v>
      </c>
      <c r="F89" s="535"/>
      <c r="G89" s="535"/>
      <c r="H89" s="195">
        <f>H91+H92+H93+H94</f>
        <v>28</v>
      </c>
      <c r="I89" s="195">
        <f>I91+I92+I93+I94</f>
        <v>37</v>
      </c>
    </row>
    <row r="90" spans="1:9" s="78" customFormat="1" ht="12.75">
      <c r="A90" s="175"/>
      <c r="B90" s="189"/>
      <c r="C90" s="232" t="s">
        <v>376</v>
      </c>
      <c r="D90" s="233" t="s">
        <v>125</v>
      </c>
      <c r="E90" s="531" t="s">
        <v>125</v>
      </c>
      <c r="F90" s="531"/>
      <c r="G90" s="531"/>
      <c r="H90" s="195"/>
      <c r="I90" s="225"/>
    </row>
    <row r="91" spans="1:9" s="78" customFormat="1" ht="12.75">
      <c r="A91" s="175"/>
      <c r="B91" s="189"/>
      <c r="C91" s="230" t="s">
        <v>377</v>
      </c>
      <c r="D91" s="231" t="s">
        <v>138</v>
      </c>
      <c r="E91" s="535" t="s">
        <v>130</v>
      </c>
      <c r="F91" s="535"/>
      <c r="G91" s="535"/>
      <c r="H91" s="195">
        <v>24</v>
      </c>
      <c r="I91" s="195">
        <v>24</v>
      </c>
    </row>
    <row r="92" spans="1:9" s="78" customFormat="1" ht="12.75">
      <c r="A92" s="175"/>
      <c r="B92" s="189"/>
      <c r="C92" s="230" t="s">
        <v>378</v>
      </c>
      <c r="D92" s="231" t="s">
        <v>138</v>
      </c>
      <c r="E92" s="535" t="s">
        <v>130</v>
      </c>
      <c r="F92" s="535"/>
      <c r="G92" s="535"/>
      <c r="H92" s="195">
        <v>4</v>
      </c>
      <c r="I92" s="195">
        <v>4</v>
      </c>
    </row>
    <row r="93" spans="1:9" s="78" customFormat="1" ht="12.75">
      <c r="A93" s="175"/>
      <c r="B93" s="189"/>
      <c r="C93" s="230" t="s">
        <v>379</v>
      </c>
      <c r="D93" s="231" t="s">
        <v>138</v>
      </c>
      <c r="E93" s="535" t="s">
        <v>130</v>
      </c>
      <c r="F93" s="535"/>
      <c r="G93" s="535"/>
      <c r="H93" s="195"/>
      <c r="I93" s="225">
        <v>5</v>
      </c>
    </row>
    <row r="94" spans="1:9" s="78" customFormat="1" ht="12.75">
      <c r="A94" s="175"/>
      <c r="B94" s="189"/>
      <c r="C94" s="230" t="s">
        <v>380</v>
      </c>
      <c r="D94" s="231" t="s">
        <v>138</v>
      </c>
      <c r="E94" s="535" t="s">
        <v>130</v>
      </c>
      <c r="F94" s="535"/>
      <c r="G94" s="535"/>
      <c r="H94" s="195"/>
      <c r="I94" s="225">
        <v>4</v>
      </c>
    </row>
    <row r="95" spans="1:9" s="78" customFormat="1" ht="12.75">
      <c r="A95" s="175"/>
      <c r="B95" s="189"/>
      <c r="C95" s="228" t="s">
        <v>136</v>
      </c>
      <c r="D95" s="229" t="s">
        <v>125</v>
      </c>
      <c r="E95" s="532" t="s">
        <v>125</v>
      </c>
      <c r="F95" s="532"/>
      <c r="G95" s="532"/>
      <c r="H95" s="195"/>
      <c r="I95" s="225"/>
    </row>
    <row r="96" spans="1:9" s="78" customFormat="1" ht="24">
      <c r="A96" s="175"/>
      <c r="B96" s="189"/>
      <c r="C96" s="234" t="s">
        <v>382</v>
      </c>
      <c r="D96" s="235" t="s">
        <v>124</v>
      </c>
      <c r="E96" s="530" t="s">
        <v>270</v>
      </c>
      <c r="F96" s="530"/>
      <c r="G96" s="530"/>
      <c r="H96" s="195">
        <f>H98+H99+H100+H101</f>
        <v>8</v>
      </c>
      <c r="I96" s="195">
        <f>I98+I99+I100+I101</f>
        <v>8</v>
      </c>
    </row>
    <row r="97" spans="1:9" s="78" customFormat="1" ht="12.75">
      <c r="A97" s="175"/>
      <c r="B97" s="189"/>
      <c r="C97" s="232" t="s">
        <v>376</v>
      </c>
      <c r="D97" s="233" t="s">
        <v>125</v>
      </c>
      <c r="E97" s="531" t="s">
        <v>125</v>
      </c>
      <c r="F97" s="531"/>
      <c r="G97" s="531"/>
      <c r="H97" s="195"/>
      <c r="I97" s="225"/>
    </row>
    <row r="98" spans="1:9" s="78" customFormat="1" ht="12.75">
      <c r="A98" s="175"/>
      <c r="B98" s="189"/>
      <c r="C98" s="230" t="s">
        <v>377</v>
      </c>
      <c r="D98" s="235" t="s">
        <v>124</v>
      </c>
      <c r="E98" s="530" t="s">
        <v>270</v>
      </c>
      <c r="F98" s="530"/>
      <c r="G98" s="530"/>
      <c r="H98" s="195">
        <v>4</v>
      </c>
      <c r="I98" s="195">
        <v>4</v>
      </c>
    </row>
    <row r="99" spans="1:9" s="78" customFormat="1" ht="12.75">
      <c r="A99" s="175"/>
      <c r="B99" s="189"/>
      <c r="C99" s="230" t="s">
        <v>378</v>
      </c>
      <c r="D99" s="235" t="s">
        <v>124</v>
      </c>
      <c r="E99" s="530" t="s">
        <v>270</v>
      </c>
      <c r="F99" s="530"/>
      <c r="G99" s="530"/>
      <c r="H99" s="195">
        <v>4</v>
      </c>
      <c r="I99" s="195">
        <v>4</v>
      </c>
    </row>
    <row r="100" spans="1:9" s="78" customFormat="1" ht="12.75">
      <c r="A100" s="175"/>
      <c r="B100" s="189"/>
      <c r="C100" s="230" t="s">
        <v>379</v>
      </c>
      <c r="D100" s="235" t="s">
        <v>124</v>
      </c>
      <c r="E100" s="530" t="s">
        <v>270</v>
      </c>
      <c r="F100" s="530"/>
      <c r="G100" s="530"/>
      <c r="H100" s="195"/>
      <c r="I100" s="225"/>
    </row>
    <row r="101" spans="1:9" s="78" customFormat="1" ht="12.75">
      <c r="A101" s="175"/>
      <c r="B101" s="189"/>
      <c r="C101" s="230" t="s">
        <v>380</v>
      </c>
      <c r="D101" s="235" t="s">
        <v>124</v>
      </c>
      <c r="E101" s="530" t="s">
        <v>270</v>
      </c>
      <c r="F101" s="530"/>
      <c r="G101" s="530"/>
      <c r="H101" s="195"/>
      <c r="I101" s="225"/>
    </row>
    <row r="102" spans="1:9" s="78" customFormat="1" ht="24">
      <c r="A102" s="175"/>
      <c r="B102" s="189"/>
      <c r="C102" s="234" t="s">
        <v>383</v>
      </c>
      <c r="D102" s="235" t="s">
        <v>124</v>
      </c>
      <c r="E102" s="530" t="s">
        <v>270</v>
      </c>
      <c r="F102" s="530"/>
      <c r="G102" s="530"/>
      <c r="H102" s="195">
        <f>H104+H105+H106+H107</f>
        <v>190</v>
      </c>
      <c r="I102" s="195">
        <f>I104+I105+I106+I107</f>
        <v>215</v>
      </c>
    </row>
    <row r="103" spans="1:9" s="78" customFormat="1" ht="12.75">
      <c r="A103" s="175"/>
      <c r="B103" s="189"/>
      <c r="C103" s="232" t="s">
        <v>376</v>
      </c>
      <c r="D103" s="233" t="s">
        <v>125</v>
      </c>
      <c r="E103" s="531" t="s">
        <v>125</v>
      </c>
      <c r="F103" s="531"/>
      <c r="G103" s="531"/>
      <c r="H103" s="195"/>
      <c r="I103" s="225"/>
    </row>
    <row r="104" spans="1:9" s="78" customFormat="1" ht="12.75">
      <c r="A104" s="175"/>
      <c r="B104" s="189"/>
      <c r="C104" s="230" t="s">
        <v>377</v>
      </c>
      <c r="D104" s="235" t="s">
        <v>124</v>
      </c>
      <c r="E104" s="530" t="s">
        <v>270</v>
      </c>
      <c r="F104" s="530"/>
      <c r="G104" s="530"/>
      <c r="H104" s="195">
        <v>150</v>
      </c>
      <c r="I104" s="195">
        <v>150</v>
      </c>
    </row>
    <row r="105" spans="1:9" s="78" customFormat="1" ht="12.75">
      <c r="A105" s="175"/>
      <c r="B105" s="189"/>
      <c r="C105" s="230" t="s">
        <v>378</v>
      </c>
      <c r="D105" s="235" t="s">
        <v>124</v>
      </c>
      <c r="E105" s="530" t="s">
        <v>270</v>
      </c>
      <c r="F105" s="530"/>
      <c r="G105" s="530"/>
      <c r="H105" s="195">
        <v>40</v>
      </c>
      <c r="I105" s="195">
        <v>40</v>
      </c>
    </row>
    <row r="106" spans="1:9" s="78" customFormat="1" ht="12.75">
      <c r="A106" s="175"/>
      <c r="B106" s="189"/>
      <c r="C106" s="230" t="s">
        <v>379</v>
      </c>
      <c r="D106" s="235" t="s">
        <v>124</v>
      </c>
      <c r="E106" s="530" t="s">
        <v>270</v>
      </c>
      <c r="F106" s="530"/>
      <c r="G106" s="530"/>
      <c r="H106" s="195"/>
      <c r="I106" s="195">
        <v>15</v>
      </c>
    </row>
    <row r="107" spans="1:9" s="78" customFormat="1" ht="12.75">
      <c r="A107" s="175"/>
      <c r="B107" s="189"/>
      <c r="C107" s="230" t="s">
        <v>380</v>
      </c>
      <c r="D107" s="235" t="s">
        <v>124</v>
      </c>
      <c r="E107" s="530" t="s">
        <v>270</v>
      </c>
      <c r="F107" s="530"/>
      <c r="G107" s="530"/>
      <c r="H107" s="195"/>
      <c r="I107" s="195">
        <v>10</v>
      </c>
    </row>
    <row r="108" spans="1:9" s="78" customFormat="1" ht="12.75">
      <c r="A108" s="175"/>
      <c r="B108" s="189"/>
      <c r="C108" s="228" t="s">
        <v>143</v>
      </c>
      <c r="D108" s="229" t="s">
        <v>125</v>
      </c>
      <c r="E108" s="532" t="s">
        <v>125</v>
      </c>
      <c r="F108" s="532"/>
      <c r="G108" s="532"/>
      <c r="H108" s="195"/>
      <c r="I108" s="225"/>
    </row>
    <row r="109" spans="1:10" s="78" customFormat="1" ht="24">
      <c r="A109" s="175"/>
      <c r="B109" s="189"/>
      <c r="C109" s="234" t="s">
        <v>384</v>
      </c>
      <c r="D109" s="235" t="s">
        <v>145</v>
      </c>
      <c r="E109" s="530" t="s">
        <v>146</v>
      </c>
      <c r="F109" s="530"/>
      <c r="G109" s="530"/>
      <c r="H109" s="204">
        <f>(H111+H112+H113+H114)/4</f>
        <v>581.1</v>
      </c>
      <c r="I109" s="204">
        <f>(I111+I112+I113+I114)/4</f>
        <v>805.325</v>
      </c>
      <c r="J109" s="78">
        <f>J111+J112+J113+J114</f>
        <v>896.9</v>
      </c>
    </row>
    <row r="110" spans="1:9" s="78" customFormat="1" ht="12.75">
      <c r="A110" s="175"/>
      <c r="B110" s="189"/>
      <c r="C110" s="232" t="s">
        <v>376</v>
      </c>
      <c r="D110" s="233" t="s">
        <v>125</v>
      </c>
      <c r="E110" s="531" t="s">
        <v>125</v>
      </c>
      <c r="F110" s="531"/>
      <c r="G110" s="531"/>
      <c r="H110" s="195"/>
      <c r="I110" s="225"/>
    </row>
    <row r="111" spans="1:10" s="78" customFormat="1" ht="12.75">
      <c r="A111" s="175"/>
      <c r="B111" s="189"/>
      <c r="C111" s="230" t="s">
        <v>377</v>
      </c>
      <c r="D111" s="235" t="s">
        <v>145</v>
      </c>
      <c r="E111" s="530" t="s">
        <v>146</v>
      </c>
      <c r="F111" s="530"/>
      <c r="G111" s="530"/>
      <c r="H111" s="195">
        <v>1941.3</v>
      </c>
      <c r="I111" s="225">
        <f>H111</f>
        <v>1941.3</v>
      </c>
      <c r="J111" s="78">
        <f>I111-H111</f>
        <v>0</v>
      </c>
    </row>
    <row r="112" spans="1:10" s="78" customFormat="1" ht="12.75">
      <c r="A112" s="175"/>
      <c r="B112" s="189"/>
      <c r="C112" s="230" t="s">
        <v>378</v>
      </c>
      <c r="D112" s="235" t="s">
        <v>145</v>
      </c>
      <c r="E112" s="530" t="s">
        <v>146</v>
      </c>
      <c r="F112" s="530"/>
      <c r="G112" s="530"/>
      <c r="H112" s="195">
        <v>383.1</v>
      </c>
      <c r="I112" s="225">
        <f>H112</f>
        <v>383.1</v>
      </c>
      <c r="J112" s="78">
        <f>I112-H112</f>
        <v>0</v>
      </c>
    </row>
    <row r="113" spans="1:10" s="78" customFormat="1" ht="12.75">
      <c r="A113" s="175"/>
      <c r="B113" s="189"/>
      <c r="C113" s="230" t="s">
        <v>379</v>
      </c>
      <c r="D113" s="235" t="s">
        <v>145</v>
      </c>
      <c r="E113" s="530" t="s">
        <v>146</v>
      </c>
      <c r="F113" s="530"/>
      <c r="G113" s="530"/>
      <c r="H113" s="195"/>
      <c r="I113" s="225">
        <f>445.4+25</f>
        <v>470.4</v>
      </c>
      <c r="J113" s="78">
        <f>I113-H113</f>
        <v>470.4</v>
      </c>
    </row>
    <row r="114" spans="1:10" s="78" customFormat="1" ht="12.75">
      <c r="A114" s="175"/>
      <c r="B114" s="189"/>
      <c r="C114" s="230" t="s">
        <v>380</v>
      </c>
      <c r="D114" s="235" t="s">
        <v>145</v>
      </c>
      <c r="E114" s="530" t="s">
        <v>146</v>
      </c>
      <c r="F114" s="530"/>
      <c r="G114" s="530"/>
      <c r="H114" s="195"/>
      <c r="I114" s="225">
        <f>401.5+25</f>
        <v>426.5</v>
      </c>
      <c r="J114" s="78">
        <f>I114-H114</f>
        <v>426.5</v>
      </c>
    </row>
    <row r="115" spans="1:9" s="78" customFormat="1" ht="24">
      <c r="A115" s="175"/>
      <c r="B115" s="189"/>
      <c r="C115" s="234" t="s">
        <v>385</v>
      </c>
      <c r="D115" s="235" t="s">
        <v>145</v>
      </c>
      <c r="E115" s="530" t="s">
        <v>146</v>
      </c>
      <c r="F115" s="530"/>
      <c r="G115" s="530"/>
      <c r="H115" s="204">
        <f>1890600/H89/12</f>
        <v>5626.785714285714</v>
      </c>
      <c r="I115" s="204">
        <f>2655400/I89/12</f>
        <v>5980.6306306306315</v>
      </c>
    </row>
    <row r="116" spans="1:9" s="78" customFormat="1" ht="12.75">
      <c r="A116" s="175"/>
      <c r="B116" s="189"/>
      <c r="C116" s="232" t="s">
        <v>376</v>
      </c>
      <c r="D116" s="233" t="s">
        <v>125</v>
      </c>
      <c r="E116" s="531" t="s">
        <v>125</v>
      </c>
      <c r="F116" s="531"/>
      <c r="G116" s="531"/>
      <c r="H116" s="195"/>
      <c r="I116" s="225"/>
    </row>
    <row r="117" spans="1:10" s="78" customFormat="1" ht="12.75">
      <c r="A117" s="175"/>
      <c r="B117" s="189"/>
      <c r="C117" s="230" t="s">
        <v>377</v>
      </c>
      <c r="D117" s="235" t="s">
        <v>145</v>
      </c>
      <c r="E117" s="530" t="s">
        <v>146</v>
      </c>
      <c r="F117" s="530"/>
      <c r="G117" s="530"/>
      <c r="H117" s="204">
        <f>1591200/H91/12</f>
        <v>5525</v>
      </c>
      <c r="I117" s="204">
        <f>H117</f>
        <v>5525</v>
      </c>
      <c r="J117" s="78">
        <f>1890.6</f>
        <v>1890.6</v>
      </c>
    </row>
    <row r="118" spans="1:10" s="78" customFormat="1" ht="12.75">
      <c r="A118" s="175"/>
      <c r="B118" s="189"/>
      <c r="C118" s="230" t="s">
        <v>378</v>
      </c>
      <c r="D118" s="235" t="s">
        <v>145</v>
      </c>
      <c r="E118" s="530" t="s">
        <v>146</v>
      </c>
      <c r="F118" s="530"/>
      <c r="G118" s="530"/>
      <c r="H118" s="204">
        <f>314000/H92/12</f>
        <v>6541.666666666667</v>
      </c>
      <c r="I118" s="204">
        <f>H118</f>
        <v>6541.666666666667</v>
      </c>
      <c r="J118" s="78">
        <f>J117*0.22</f>
        <v>415.93199999999996</v>
      </c>
    </row>
    <row r="119" spans="1:9" s="78" customFormat="1" ht="12.75">
      <c r="A119" s="175"/>
      <c r="B119" s="189"/>
      <c r="C119" s="230" t="s">
        <v>379</v>
      </c>
      <c r="D119" s="235" t="s">
        <v>145</v>
      </c>
      <c r="E119" s="530" t="s">
        <v>146</v>
      </c>
      <c r="F119" s="530"/>
      <c r="G119" s="530"/>
      <c r="H119" s="204"/>
      <c r="I119" s="204">
        <f>365100/I93/12</f>
        <v>6085</v>
      </c>
    </row>
    <row r="120" spans="1:9" s="78" customFormat="1" ht="12.75">
      <c r="A120" s="175"/>
      <c r="B120" s="189"/>
      <c r="C120" s="230" t="s">
        <v>380</v>
      </c>
      <c r="D120" s="235" t="s">
        <v>145</v>
      </c>
      <c r="E120" s="530" t="s">
        <v>146</v>
      </c>
      <c r="F120" s="530"/>
      <c r="G120" s="530"/>
      <c r="H120" s="204"/>
      <c r="I120" s="204">
        <f>329100/I94/12</f>
        <v>6856.25</v>
      </c>
    </row>
    <row r="121" spans="1:9" s="78" customFormat="1" ht="12.75">
      <c r="A121" s="175"/>
      <c r="B121" s="189"/>
      <c r="C121" s="228" t="s">
        <v>147</v>
      </c>
      <c r="D121" s="229" t="s">
        <v>125</v>
      </c>
      <c r="E121" s="532" t="s">
        <v>125</v>
      </c>
      <c r="F121" s="532"/>
      <c r="G121" s="532"/>
      <c r="H121" s="204"/>
      <c r="I121" s="238"/>
    </row>
    <row r="122" spans="1:9" s="78" customFormat="1" ht="24">
      <c r="A122" s="175"/>
      <c r="B122" s="189"/>
      <c r="C122" s="236" t="s">
        <v>386</v>
      </c>
      <c r="D122" s="235" t="s">
        <v>123</v>
      </c>
      <c r="E122" s="530" t="s">
        <v>146</v>
      </c>
      <c r="F122" s="530"/>
      <c r="G122" s="530"/>
      <c r="H122" s="204">
        <v>3.8</v>
      </c>
      <c r="I122" s="238">
        <v>5</v>
      </c>
    </row>
    <row r="123" spans="1:9" s="78" customFormat="1" ht="12.75">
      <c r="A123" s="175"/>
      <c r="B123" s="189"/>
      <c r="C123" s="232" t="s">
        <v>376</v>
      </c>
      <c r="D123" s="233" t="s">
        <v>125</v>
      </c>
      <c r="E123" s="531" t="s">
        <v>125</v>
      </c>
      <c r="F123" s="531"/>
      <c r="G123" s="531"/>
      <c r="H123" s="204"/>
      <c r="I123" s="238"/>
    </row>
    <row r="124" spans="1:9" s="78" customFormat="1" ht="12.75">
      <c r="A124" s="175"/>
      <c r="B124" s="189"/>
      <c r="C124" s="230" t="s">
        <v>377</v>
      </c>
      <c r="D124" s="235" t="s">
        <v>123</v>
      </c>
      <c r="E124" s="530" t="s">
        <v>146</v>
      </c>
      <c r="F124" s="530"/>
      <c r="G124" s="530"/>
      <c r="H124" s="204">
        <v>5</v>
      </c>
      <c r="I124" s="238">
        <v>7</v>
      </c>
    </row>
    <row r="125" spans="1:9" s="78" customFormat="1" ht="12.75">
      <c r="A125" s="175"/>
      <c r="B125" s="189"/>
      <c r="C125" s="230" t="s">
        <v>378</v>
      </c>
      <c r="D125" s="235" t="s">
        <v>123</v>
      </c>
      <c r="E125" s="530" t="s">
        <v>146</v>
      </c>
      <c r="F125" s="530"/>
      <c r="G125" s="530"/>
      <c r="H125" s="204">
        <v>3</v>
      </c>
      <c r="I125" s="238">
        <v>5</v>
      </c>
    </row>
    <row r="126" spans="1:9" s="78" customFormat="1" ht="12.75">
      <c r="A126" s="175"/>
      <c r="B126" s="189"/>
      <c r="C126" s="230" t="s">
        <v>379</v>
      </c>
      <c r="D126" s="235" t="s">
        <v>123</v>
      </c>
      <c r="E126" s="530" t="s">
        <v>146</v>
      </c>
      <c r="F126" s="530"/>
      <c r="G126" s="530"/>
      <c r="H126" s="204"/>
      <c r="I126" s="238">
        <v>2</v>
      </c>
    </row>
    <row r="127" spans="1:9" s="78" customFormat="1" ht="12.75">
      <c r="A127" s="175"/>
      <c r="B127" s="189"/>
      <c r="C127" s="230" t="s">
        <v>380</v>
      </c>
      <c r="D127" s="235" t="s">
        <v>123</v>
      </c>
      <c r="E127" s="530" t="s">
        <v>146</v>
      </c>
      <c r="F127" s="530"/>
      <c r="G127" s="530"/>
      <c r="H127" s="204"/>
      <c r="I127" s="238">
        <v>2</v>
      </c>
    </row>
    <row r="128" spans="1:9" s="78" customFormat="1" ht="24">
      <c r="A128" s="175"/>
      <c r="B128" s="189"/>
      <c r="C128" s="236" t="s">
        <v>387</v>
      </c>
      <c r="D128" s="235" t="s">
        <v>123</v>
      </c>
      <c r="E128" s="530" t="s">
        <v>146</v>
      </c>
      <c r="F128" s="530"/>
      <c r="G128" s="530"/>
      <c r="H128" s="211">
        <v>0</v>
      </c>
      <c r="I128" s="239">
        <f>I102/190</f>
        <v>1.131578947368421</v>
      </c>
    </row>
    <row r="129" spans="1:9" s="78" customFormat="1" ht="12.75">
      <c r="A129" s="175"/>
      <c r="B129" s="189"/>
      <c r="C129" s="232" t="s">
        <v>376</v>
      </c>
      <c r="D129" s="233" t="s">
        <v>125</v>
      </c>
      <c r="E129" s="531" t="s">
        <v>125</v>
      </c>
      <c r="F129" s="531"/>
      <c r="G129" s="531"/>
      <c r="H129" s="211"/>
      <c r="I129" s="239"/>
    </row>
    <row r="130" spans="1:9" s="78" customFormat="1" ht="12.75">
      <c r="A130" s="175"/>
      <c r="B130" s="189"/>
      <c r="C130" s="230" t="s">
        <v>377</v>
      </c>
      <c r="D130" s="235" t="s">
        <v>123</v>
      </c>
      <c r="E130" s="530" t="s">
        <v>146</v>
      </c>
      <c r="F130" s="530"/>
      <c r="G130" s="530"/>
      <c r="H130" s="211">
        <v>0</v>
      </c>
      <c r="I130" s="239">
        <v>0</v>
      </c>
    </row>
    <row r="131" spans="1:9" s="78" customFormat="1" ht="12.75">
      <c r="A131" s="175"/>
      <c r="B131" s="189"/>
      <c r="C131" s="230" t="s">
        <v>378</v>
      </c>
      <c r="D131" s="235" t="s">
        <v>123</v>
      </c>
      <c r="E131" s="530" t="s">
        <v>146</v>
      </c>
      <c r="F131" s="530"/>
      <c r="G131" s="530"/>
      <c r="H131" s="211">
        <v>0</v>
      </c>
      <c r="I131" s="239">
        <v>0</v>
      </c>
    </row>
    <row r="132" spans="1:9" s="78" customFormat="1" ht="12.75">
      <c r="A132" s="175"/>
      <c r="B132" s="189"/>
      <c r="C132" s="230" t="s">
        <v>379</v>
      </c>
      <c r="D132" s="235" t="s">
        <v>123</v>
      </c>
      <c r="E132" s="530" t="s">
        <v>146</v>
      </c>
      <c r="F132" s="530"/>
      <c r="G132" s="530"/>
      <c r="H132" s="211"/>
      <c r="I132" s="239">
        <v>1</v>
      </c>
    </row>
    <row r="133" spans="1:9" s="78" customFormat="1" ht="12.75">
      <c r="A133" s="175"/>
      <c r="B133" s="189"/>
      <c r="C133" s="230" t="s">
        <v>380</v>
      </c>
      <c r="D133" s="235" t="s">
        <v>123</v>
      </c>
      <c r="E133" s="530" t="s">
        <v>146</v>
      </c>
      <c r="F133" s="530"/>
      <c r="G133" s="530"/>
      <c r="H133" s="211"/>
      <c r="I133" s="239">
        <v>1</v>
      </c>
    </row>
    <row r="134" ht="12.75">
      <c r="A134" s="22"/>
    </row>
    <row r="135" spans="1:9" ht="30.75" customHeight="1">
      <c r="A135" s="444" t="s">
        <v>27</v>
      </c>
      <c r="B135" s="444"/>
      <c r="C135" s="444"/>
      <c r="D135" s="444"/>
      <c r="E135" s="444"/>
      <c r="F135" s="444"/>
      <c r="G135" s="444"/>
      <c r="H135" s="444"/>
      <c r="I135" s="444"/>
    </row>
    <row r="136" spans="1:9" ht="15">
      <c r="A136" s="446"/>
      <c r="B136" s="446"/>
      <c r="C136" s="446"/>
      <c r="D136" s="446"/>
      <c r="E136" s="446"/>
      <c r="F136" s="446"/>
      <c r="G136" s="446"/>
      <c r="H136" s="446"/>
      <c r="I136" s="446"/>
    </row>
    <row r="137" spans="1:9" ht="15">
      <c r="A137" s="446"/>
      <c r="B137" s="446"/>
      <c r="C137" s="446"/>
      <c r="D137" s="446"/>
      <c r="E137" s="446"/>
      <c r="F137" s="446"/>
      <c r="G137" s="446"/>
      <c r="H137" s="446"/>
      <c r="I137" s="446"/>
    </row>
    <row r="138" spans="1:9" ht="15">
      <c r="A138" s="442" t="s">
        <v>210</v>
      </c>
      <c r="B138" s="442"/>
      <c r="C138" s="442"/>
      <c r="D138" s="442"/>
      <c r="E138" s="442"/>
      <c r="F138" s="442"/>
      <c r="G138" s="442"/>
      <c r="H138" s="442"/>
      <c r="I138" s="442"/>
    </row>
    <row r="139" ht="12.75">
      <c r="I139" s="2" t="s">
        <v>4</v>
      </c>
    </row>
    <row r="140" spans="1:9" s="19" customFormat="1" ht="12.75">
      <c r="A140" s="443" t="s">
        <v>3</v>
      </c>
      <c r="B140" s="443"/>
      <c r="C140" s="23"/>
      <c r="D140" s="18"/>
      <c r="E140" s="18"/>
      <c r="F140" s="18"/>
      <c r="G140" s="18"/>
      <c r="H140" s="443"/>
      <c r="I140" s="443"/>
    </row>
    <row r="141" ht="12.75">
      <c r="A141" s="3"/>
    </row>
    <row r="142" spans="1:9" ht="30.75" customHeight="1">
      <c r="A142" s="444" t="s">
        <v>211</v>
      </c>
      <c r="B142" s="444"/>
      <c r="C142" s="444"/>
      <c r="D142" s="444"/>
      <c r="E142" s="444"/>
      <c r="F142" s="444"/>
      <c r="G142" s="444"/>
      <c r="H142" s="444"/>
      <c r="I142" s="444"/>
    </row>
    <row r="143" ht="12.75">
      <c r="I143" s="2" t="s">
        <v>4</v>
      </c>
    </row>
    <row r="144" spans="1:9" ht="36.75" customHeight="1">
      <c r="A144" s="441" t="s">
        <v>23</v>
      </c>
      <c r="B144" s="441"/>
      <c r="C144" s="441" t="s">
        <v>1</v>
      </c>
      <c r="D144" s="441" t="s">
        <v>7</v>
      </c>
      <c r="E144" s="441"/>
      <c r="F144" s="441" t="s">
        <v>178</v>
      </c>
      <c r="G144" s="441"/>
      <c r="H144" s="441" t="s">
        <v>212</v>
      </c>
      <c r="I144" s="441"/>
    </row>
    <row r="145" spans="1:9" ht="36" customHeight="1">
      <c r="A145" s="441"/>
      <c r="B145" s="441"/>
      <c r="C145" s="441"/>
      <c r="D145" s="14" t="s">
        <v>28</v>
      </c>
      <c r="E145" s="14" t="s">
        <v>36</v>
      </c>
      <c r="F145" s="14" t="s">
        <v>28</v>
      </c>
      <c r="G145" s="14" t="s">
        <v>36</v>
      </c>
      <c r="H145" s="441"/>
      <c r="I145" s="441"/>
    </row>
    <row r="146" spans="1:9" ht="13.5" thickBot="1">
      <c r="A146" s="445">
        <v>1</v>
      </c>
      <c r="B146" s="445"/>
      <c r="C146" s="17">
        <v>2</v>
      </c>
      <c r="D146" s="16">
        <v>3</v>
      </c>
      <c r="E146" s="16">
        <v>4</v>
      </c>
      <c r="F146" s="16">
        <v>5</v>
      </c>
      <c r="G146" s="16">
        <v>6</v>
      </c>
      <c r="H146" s="445">
        <v>7</v>
      </c>
      <c r="I146" s="445"/>
    </row>
    <row r="147" spans="1:9" ht="13.5" thickTop="1">
      <c r="A147" s="447"/>
      <c r="B147" s="447"/>
      <c r="C147" s="15"/>
      <c r="D147" s="25"/>
      <c r="E147" s="25"/>
      <c r="F147" s="25"/>
      <c r="G147" s="25"/>
      <c r="H147" s="440"/>
      <c r="I147" s="440"/>
    </row>
    <row r="148" spans="1:9" ht="12.75">
      <c r="A148" s="402"/>
      <c r="B148" s="402"/>
      <c r="C148" s="12"/>
      <c r="D148" s="11"/>
      <c r="E148" s="11"/>
      <c r="F148" s="11"/>
      <c r="G148" s="11"/>
      <c r="H148" s="427"/>
      <c r="I148" s="427"/>
    </row>
    <row r="149" spans="1:9" ht="12.75">
      <c r="A149" s="402"/>
      <c r="B149" s="402"/>
      <c r="C149" s="12"/>
      <c r="D149" s="11"/>
      <c r="E149" s="11"/>
      <c r="F149" s="11"/>
      <c r="G149" s="11"/>
      <c r="H149" s="427"/>
      <c r="I149" s="427"/>
    </row>
    <row r="150" spans="1:9" ht="12.75">
      <c r="A150" s="402"/>
      <c r="B150" s="402"/>
      <c r="C150" s="12"/>
      <c r="D150" s="11"/>
      <c r="E150" s="11"/>
      <c r="F150" s="11"/>
      <c r="G150" s="11"/>
      <c r="H150" s="427"/>
      <c r="I150" s="427"/>
    </row>
    <row r="151" spans="1:9" ht="12.75">
      <c r="A151" s="402"/>
      <c r="B151" s="402"/>
      <c r="C151" s="12"/>
      <c r="D151" s="11"/>
      <c r="E151" s="11"/>
      <c r="F151" s="11"/>
      <c r="G151" s="11"/>
      <c r="H151" s="427"/>
      <c r="I151" s="427"/>
    </row>
    <row r="152" ht="15">
      <c r="A152" s="1"/>
    </row>
    <row r="153" spans="1:9" ht="14.25" customHeight="1">
      <c r="A153" s="444" t="s">
        <v>25</v>
      </c>
      <c r="B153" s="444"/>
      <c r="C153" s="444"/>
      <c r="D153" s="444"/>
      <c r="E153" s="444"/>
      <c r="F153" s="444"/>
      <c r="G153" s="444"/>
      <c r="H153" s="444"/>
      <c r="I153" s="444"/>
    </row>
    <row r="154" spans="1:9" ht="72.75" customHeight="1">
      <c r="A154" s="14" t="s">
        <v>20</v>
      </c>
      <c r="B154" s="8" t="s">
        <v>0</v>
      </c>
      <c r="C154" s="14" t="s">
        <v>1</v>
      </c>
      <c r="D154" s="14" t="s">
        <v>14</v>
      </c>
      <c r="E154" s="14" t="s">
        <v>15</v>
      </c>
      <c r="F154" s="14" t="s">
        <v>29</v>
      </c>
      <c r="G154" s="14" t="s">
        <v>30</v>
      </c>
      <c r="H154" s="14" t="s">
        <v>31</v>
      </c>
      <c r="I154" s="14" t="s">
        <v>32</v>
      </c>
    </row>
    <row r="155" spans="1:9" ht="13.5" thickBot="1">
      <c r="A155" s="17">
        <v>1</v>
      </c>
      <c r="B155" s="17">
        <v>2</v>
      </c>
      <c r="C155" s="16">
        <v>3</v>
      </c>
      <c r="D155" s="16">
        <v>4</v>
      </c>
      <c r="E155" s="16">
        <v>5</v>
      </c>
      <c r="F155" s="16">
        <v>6</v>
      </c>
      <c r="G155" s="16">
        <v>7</v>
      </c>
      <c r="H155" s="16">
        <v>8</v>
      </c>
      <c r="I155" s="16">
        <v>9</v>
      </c>
    </row>
    <row r="156" spans="1:9" ht="13.5" hidden="1" thickTop="1">
      <c r="A156" s="24"/>
      <c r="B156" s="26"/>
      <c r="C156" s="26" t="s">
        <v>10</v>
      </c>
      <c r="D156" s="24"/>
      <c r="E156" s="24"/>
      <c r="F156" s="24"/>
      <c r="G156" s="24"/>
      <c r="H156" s="24"/>
      <c r="I156" s="24"/>
    </row>
    <row r="157" spans="1:9" ht="13.5" hidden="1" thickTop="1">
      <c r="A157" s="18"/>
      <c r="B157" s="12"/>
      <c r="C157" s="12" t="s">
        <v>26</v>
      </c>
      <c r="D157" s="18"/>
      <c r="E157" s="18"/>
      <c r="F157" s="18"/>
      <c r="G157" s="18"/>
      <c r="H157" s="18"/>
      <c r="I157" s="18"/>
    </row>
    <row r="158" spans="1:9" ht="13.5" hidden="1" thickTop="1">
      <c r="A158" s="18"/>
      <c r="B158" s="12"/>
      <c r="C158" s="12" t="s">
        <v>16</v>
      </c>
      <c r="D158" s="18"/>
      <c r="E158" s="18"/>
      <c r="F158" s="18"/>
      <c r="G158" s="18"/>
      <c r="H158" s="18"/>
      <c r="I158" s="18"/>
    </row>
    <row r="159" spans="1:9" ht="13.5" hidden="1" thickTop="1">
      <c r="A159" s="18"/>
      <c r="B159" s="12"/>
      <c r="C159" s="12" t="s">
        <v>2</v>
      </c>
      <c r="D159" s="18"/>
      <c r="E159" s="18"/>
      <c r="F159" s="18"/>
      <c r="G159" s="18"/>
      <c r="H159" s="18"/>
      <c r="I159" s="18"/>
    </row>
    <row r="160" spans="1:9" ht="13.5" hidden="1" thickTop="1">
      <c r="A160" s="18"/>
      <c r="B160" s="12"/>
      <c r="C160" s="12" t="s">
        <v>17</v>
      </c>
      <c r="D160" s="18"/>
      <c r="E160" s="18"/>
      <c r="F160" s="18"/>
      <c r="G160" s="18"/>
      <c r="H160" s="18"/>
      <c r="I160" s="18"/>
    </row>
    <row r="161" spans="1:9" ht="13.5" hidden="1" thickTop="1">
      <c r="A161" s="18"/>
      <c r="B161" s="12"/>
      <c r="C161" s="12" t="s">
        <v>2</v>
      </c>
      <c r="D161" s="18"/>
      <c r="E161" s="18"/>
      <c r="F161" s="18"/>
      <c r="G161" s="18"/>
      <c r="H161" s="18"/>
      <c r="I161" s="18"/>
    </row>
    <row r="162" spans="1:9" ht="13.5" hidden="1" thickTop="1">
      <c r="A162" s="18"/>
      <c r="B162" s="12"/>
      <c r="C162" s="12" t="s">
        <v>18</v>
      </c>
      <c r="D162" s="18"/>
      <c r="E162" s="18"/>
      <c r="F162" s="18"/>
      <c r="G162" s="18"/>
      <c r="H162" s="18"/>
      <c r="I162" s="18"/>
    </row>
    <row r="163" spans="1:9" ht="13.5" hidden="1" thickTop="1">
      <c r="A163" s="18"/>
      <c r="B163" s="12"/>
      <c r="C163" s="12" t="s">
        <v>33</v>
      </c>
      <c r="D163" s="18"/>
      <c r="E163" s="18"/>
      <c r="F163" s="18"/>
      <c r="G163" s="18"/>
      <c r="H163" s="18"/>
      <c r="I163" s="18"/>
    </row>
    <row r="164" spans="1:9" ht="13.5" hidden="1" thickTop="1">
      <c r="A164" s="18"/>
      <c r="B164" s="12"/>
      <c r="C164" s="12" t="s">
        <v>19</v>
      </c>
      <c r="D164" s="18"/>
      <c r="E164" s="18"/>
      <c r="F164" s="18"/>
      <c r="G164" s="18"/>
      <c r="H164" s="18"/>
      <c r="I164" s="18"/>
    </row>
    <row r="165" spans="1:9" ht="13.5" hidden="1" thickTop="1">
      <c r="A165" s="18"/>
      <c r="B165" s="12"/>
      <c r="C165" s="12" t="s">
        <v>2</v>
      </c>
      <c r="D165" s="18"/>
      <c r="E165" s="18"/>
      <c r="F165" s="18"/>
      <c r="G165" s="18"/>
      <c r="H165" s="18"/>
      <c r="I165" s="18"/>
    </row>
    <row r="166" spans="1:9" ht="13.5" hidden="1" thickTop="1">
      <c r="A166" s="18"/>
      <c r="B166" s="13"/>
      <c r="C166" s="13" t="s">
        <v>11</v>
      </c>
      <c r="D166" s="18"/>
      <c r="E166" s="18"/>
      <c r="F166" s="18"/>
      <c r="G166" s="18"/>
      <c r="H166" s="18"/>
      <c r="I166" s="18"/>
    </row>
    <row r="167" spans="1:9" ht="13.5" thickTop="1">
      <c r="A167" s="18"/>
      <c r="B167" s="12"/>
      <c r="C167" s="12" t="s">
        <v>2</v>
      </c>
      <c r="D167" s="18"/>
      <c r="E167" s="18"/>
      <c r="F167" s="18"/>
      <c r="G167" s="18"/>
      <c r="H167" s="18"/>
      <c r="I167" s="18"/>
    </row>
    <row r="168" ht="12.75">
      <c r="A168" s="22"/>
    </row>
    <row r="169" spans="1:9" ht="30.75" customHeight="1">
      <c r="A169" s="444" t="s">
        <v>34</v>
      </c>
      <c r="B169" s="444"/>
      <c r="C169" s="444"/>
      <c r="D169" s="444"/>
      <c r="E169" s="444"/>
      <c r="F169" s="444"/>
      <c r="G169" s="444"/>
      <c r="H169" s="444"/>
      <c r="I169" s="444"/>
    </row>
    <row r="170" spans="1:9" ht="15">
      <c r="A170" s="446"/>
      <c r="B170" s="446"/>
      <c r="C170" s="446"/>
      <c r="D170" s="446"/>
      <c r="E170" s="446"/>
      <c r="F170" s="446"/>
      <c r="G170" s="446"/>
      <c r="H170" s="446"/>
      <c r="I170" s="446"/>
    </row>
    <row r="171" spans="1:9" ht="15">
      <c r="A171" s="442" t="s">
        <v>213</v>
      </c>
      <c r="B171" s="442"/>
      <c r="C171" s="442"/>
      <c r="D171" s="442"/>
      <c r="E171" s="442"/>
      <c r="F171" s="442"/>
      <c r="G171" s="442"/>
      <c r="H171" s="442"/>
      <c r="I171" s="442"/>
    </row>
    <row r="172" spans="1:9" ht="12.75">
      <c r="A172" s="2" t="s">
        <v>35</v>
      </c>
      <c r="I172" s="2" t="s">
        <v>4</v>
      </c>
    </row>
    <row r="173" spans="1:9" s="19" customFormat="1" ht="12.75">
      <c r="A173" s="443" t="s">
        <v>3</v>
      </c>
      <c r="B173" s="443"/>
      <c r="C173" s="23"/>
      <c r="D173" s="18"/>
      <c r="E173" s="18"/>
      <c r="F173" s="18"/>
      <c r="G173" s="18"/>
      <c r="H173" s="443"/>
      <c r="I173" s="443"/>
    </row>
    <row r="174" ht="12.75">
      <c r="A174" s="4"/>
    </row>
    <row r="175" ht="12.75">
      <c r="A175" s="4"/>
    </row>
    <row r="176" spans="1:9" ht="18.75" customHeight="1">
      <c r="A176" s="393" t="s">
        <v>159</v>
      </c>
      <c r="B176" s="393"/>
      <c r="C176" s="393"/>
      <c r="E176" s="392" t="s">
        <v>8</v>
      </c>
      <c r="F176" s="392"/>
      <c r="H176" s="392" t="s">
        <v>108</v>
      </c>
      <c r="I176" s="392"/>
    </row>
    <row r="177" spans="1:9" ht="15">
      <c r="A177" s="5"/>
      <c r="B177" s="5"/>
      <c r="E177" s="431" t="s">
        <v>5</v>
      </c>
      <c r="F177" s="431"/>
      <c r="H177" s="431" t="s">
        <v>6</v>
      </c>
      <c r="I177" s="431"/>
    </row>
    <row r="178" spans="1:8" ht="12.75" customHeight="1">
      <c r="A178" s="10"/>
      <c r="B178" s="10"/>
      <c r="E178" s="9"/>
      <c r="H178" s="9"/>
    </row>
    <row r="179" spans="1:9" ht="18.75" customHeight="1">
      <c r="A179" s="393" t="s">
        <v>107</v>
      </c>
      <c r="B179" s="393"/>
      <c r="C179" s="393"/>
      <c r="E179" s="392" t="s">
        <v>8</v>
      </c>
      <c r="F179" s="392"/>
      <c r="H179" s="392" t="s">
        <v>109</v>
      </c>
      <c r="I179" s="392"/>
    </row>
    <row r="180" spans="1:9" ht="15">
      <c r="A180" s="5"/>
      <c r="E180" s="431" t="s">
        <v>5</v>
      </c>
      <c r="F180" s="431"/>
      <c r="H180" s="431" t="s">
        <v>6</v>
      </c>
      <c r="I180" s="431"/>
    </row>
    <row r="181" ht="12.75">
      <c r="A181" s="4"/>
    </row>
    <row r="182" ht="12.75">
      <c r="A182" s="4"/>
    </row>
  </sheetData>
  <sheetProtection/>
  <mergeCells count="114">
    <mergeCell ref="A1:I1"/>
    <mergeCell ref="A3:I3"/>
    <mergeCell ref="A4:I4"/>
    <mergeCell ref="B5:J5"/>
    <mergeCell ref="B6:J6"/>
    <mergeCell ref="B12:I12"/>
    <mergeCell ref="A14:B15"/>
    <mergeCell ref="C14:C15"/>
    <mergeCell ref="D14:D15"/>
    <mergeCell ref="E14:E15"/>
    <mergeCell ref="F14:G14"/>
    <mergeCell ref="H14:I15"/>
    <mergeCell ref="A16:B16"/>
    <mergeCell ref="H16:I16"/>
    <mergeCell ref="H17:I17"/>
    <mergeCell ref="H18:I18"/>
    <mergeCell ref="H19:I74"/>
    <mergeCell ref="E77:G77"/>
    <mergeCell ref="E78:G78"/>
    <mergeCell ref="E79:G79"/>
    <mergeCell ref="C81:I81"/>
    <mergeCell ref="A76:I76"/>
    <mergeCell ref="E96:G96"/>
    <mergeCell ref="E97:G97"/>
    <mergeCell ref="E86:G86"/>
    <mergeCell ref="E85:G85"/>
    <mergeCell ref="E84:G84"/>
    <mergeCell ref="E83:G83"/>
    <mergeCell ref="E98:G98"/>
    <mergeCell ref="E99:G99"/>
    <mergeCell ref="E100:G100"/>
    <mergeCell ref="E101:G101"/>
    <mergeCell ref="E102:G102"/>
    <mergeCell ref="E103:G103"/>
    <mergeCell ref="E104:G104"/>
    <mergeCell ref="E105:G105"/>
    <mergeCell ref="E106:G106"/>
    <mergeCell ref="E107:G107"/>
    <mergeCell ref="E115:G115"/>
    <mergeCell ref="E116:G116"/>
    <mergeCell ref="E117:G117"/>
    <mergeCell ref="E118:G118"/>
    <mergeCell ref="E119:G119"/>
    <mergeCell ref="E108:G108"/>
    <mergeCell ref="E109:G109"/>
    <mergeCell ref="E110:G110"/>
    <mergeCell ref="E111:G111"/>
    <mergeCell ref="E113:G113"/>
    <mergeCell ref="A135:I135"/>
    <mergeCell ref="A136:I136"/>
    <mergeCell ref="A137:I137"/>
    <mergeCell ref="A138:I138"/>
    <mergeCell ref="A140:B140"/>
    <mergeCell ref="H140:I140"/>
    <mergeCell ref="A142:I142"/>
    <mergeCell ref="A144:B145"/>
    <mergeCell ref="C144:C145"/>
    <mergeCell ref="D144:E144"/>
    <mergeCell ref="F144:G144"/>
    <mergeCell ref="H144:I145"/>
    <mergeCell ref="A146:B146"/>
    <mergeCell ref="H146:I146"/>
    <mergeCell ref="A147:B147"/>
    <mergeCell ref="H147:I147"/>
    <mergeCell ref="A148:B148"/>
    <mergeCell ref="H148:I148"/>
    <mergeCell ref="A149:B149"/>
    <mergeCell ref="H149:I149"/>
    <mergeCell ref="A150:B150"/>
    <mergeCell ref="H150:I150"/>
    <mergeCell ref="A151:B151"/>
    <mergeCell ref="H151:I151"/>
    <mergeCell ref="A153:I153"/>
    <mergeCell ref="A169:I169"/>
    <mergeCell ref="A170:I170"/>
    <mergeCell ref="A171:I171"/>
    <mergeCell ref="A173:B173"/>
    <mergeCell ref="H173:I173"/>
    <mergeCell ref="E180:F180"/>
    <mergeCell ref="H180:I180"/>
    <mergeCell ref="A176:C176"/>
    <mergeCell ref="E176:F176"/>
    <mergeCell ref="H176:I176"/>
    <mergeCell ref="E177:F177"/>
    <mergeCell ref="H177:I177"/>
    <mergeCell ref="A179:C179"/>
    <mergeCell ref="E179:F179"/>
    <mergeCell ref="H179:I179"/>
    <mergeCell ref="E94:G94"/>
    <mergeCell ref="E93:G93"/>
    <mergeCell ref="E92:G92"/>
    <mergeCell ref="E91:G91"/>
    <mergeCell ref="E90:G90"/>
    <mergeCell ref="E89:G89"/>
    <mergeCell ref="E128:G128"/>
    <mergeCell ref="E127:G127"/>
    <mergeCell ref="E126:G126"/>
    <mergeCell ref="E125:G125"/>
    <mergeCell ref="E88:G88"/>
    <mergeCell ref="E87:G87"/>
    <mergeCell ref="E120:G120"/>
    <mergeCell ref="E112:G112"/>
    <mergeCell ref="E95:G95"/>
    <mergeCell ref="E114:G114"/>
    <mergeCell ref="E124:G124"/>
    <mergeCell ref="E123:G123"/>
    <mergeCell ref="E122:G122"/>
    <mergeCell ref="E121:G121"/>
    <mergeCell ref="E82:G82"/>
    <mergeCell ref="E133:G133"/>
    <mergeCell ref="E132:G132"/>
    <mergeCell ref="E131:G131"/>
    <mergeCell ref="E130:G130"/>
    <mergeCell ref="E129:G129"/>
  </mergeCells>
  <printOptions horizontalCentered="1"/>
  <pageMargins left="0.2362204724409449" right="0.15748031496062992" top="0.1968503937007874" bottom="0.15748031496062992" header="0.1968503937007874" footer="0.11811023622047245"/>
  <pageSetup horizontalDpi="600" verticalDpi="600" orientation="landscape" paperSize="9" scale="75" r:id="rId1"/>
  <rowBreaks count="2" manualBreakCount="2">
    <brk id="104" min="1" max="8" man="1"/>
    <brk id="151" min="1" max="8" man="1"/>
  </rowBreaks>
</worksheet>
</file>

<file path=xl/worksheets/sheet14.xml><?xml version="1.0" encoding="utf-8"?>
<worksheet xmlns="http://schemas.openxmlformats.org/spreadsheetml/2006/main" xmlns:r="http://schemas.openxmlformats.org/officeDocument/2006/relationships">
  <sheetPr>
    <tabColor theme="7" tint="0.5999900102615356"/>
    <pageSetUpPr fitToPage="1"/>
  </sheetPr>
  <dimension ref="A1:K282"/>
  <sheetViews>
    <sheetView view="pageBreakPreview" zoomScale="90" zoomScaleSheetLayoutView="90" zoomScalePageLayoutView="0" workbookViewId="0" topLeftCell="B1">
      <selection activeCell="D83" sqref="D83"/>
    </sheetView>
  </sheetViews>
  <sheetFormatPr defaultColWidth="9.00390625" defaultRowHeight="12.75"/>
  <cols>
    <col min="1" max="1" width="6.375" style="0" hidden="1" customWidth="1"/>
    <col min="2" max="2" width="7.625" style="0" customWidth="1"/>
    <col min="3" max="3" width="84.50390625" style="0" customWidth="1"/>
    <col min="4" max="4" width="8.375" style="0" customWidth="1"/>
    <col min="5" max="6" width="8.50390625" style="0" customWidth="1"/>
    <col min="7" max="7" width="11.375" style="0" customWidth="1"/>
    <col min="8" max="8" width="32.50390625" style="0" customWidth="1"/>
    <col min="9" max="9" width="32.375" style="0" customWidth="1"/>
    <col min="10" max="10" width="10.50390625" style="0" customWidth="1"/>
  </cols>
  <sheetData>
    <row r="1" spans="1:9" s="60" customFormat="1" ht="21" thickBot="1">
      <c r="A1" s="432" t="s">
        <v>217</v>
      </c>
      <c r="B1" s="432"/>
      <c r="C1" s="432"/>
      <c r="D1" s="432"/>
      <c r="E1" s="432"/>
      <c r="F1" s="432"/>
      <c r="G1" s="432"/>
      <c r="H1" s="432"/>
      <c r="I1" s="432"/>
    </row>
    <row r="2" s="60" customFormat="1" ht="9.75" customHeight="1" thickTop="1">
      <c r="A2" s="70"/>
    </row>
    <row r="3" spans="1:9" s="60" customFormat="1" ht="15">
      <c r="A3" s="433" t="s">
        <v>160</v>
      </c>
      <c r="B3" s="433"/>
      <c r="C3" s="433"/>
      <c r="D3" s="433"/>
      <c r="E3" s="433"/>
      <c r="F3" s="433"/>
      <c r="G3" s="433"/>
      <c r="H3" s="433"/>
      <c r="I3" s="433"/>
    </row>
    <row r="4" spans="1:9" s="60" customFormat="1" ht="12" customHeight="1">
      <c r="A4" s="434" t="s">
        <v>206</v>
      </c>
      <c r="B4" s="434"/>
      <c r="C4" s="434"/>
      <c r="D4" s="434"/>
      <c r="E4" s="434"/>
      <c r="F4" s="434"/>
      <c r="G4" s="434"/>
      <c r="H4" s="434"/>
      <c r="I4" s="434"/>
    </row>
    <row r="5" spans="1:10" s="60" customFormat="1" ht="12" customHeight="1">
      <c r="A5" s="112"/>
      <c r="B5" s="433" t="s">
        <v>205</v>
      </c>
      <c r="C5" s="433"/>
      <c r="D5" s="433"/>
      <c r="E5" s="433"/>
      <c r="F5" s="433"/>
      <c r="G5" s="433"/>
      <c r="H5" s="433"/>
      <c r="I5" s="433"/>
      <c r="J5" s="433"/>
    </row>
    <row r="6" spans="1:10" s="60" customFormat="1" ht="12" customHeight="1">
      <c r="A6" s="112"/>
      <c r="B6" s="434" t="s">
        <v>207</v>
      </c>
      <c r="C6" s="434"/>
      <c r="D6" s="434"/>
      <c r="E6" s="434"/>
      <c r="F6" s="434"/>
      <c r="G6" s="434"/>
      <c r="H6" s="434"/>
      <c r="I6" s="434"/>
      <c r="J6" s="434"/>
    </row>
    <row r="7" spans="1:9" s="60" customFormat="1" ht="12" customHeight="1">
      <c r="A7" s="112"/>
      <c r="B7" s="119"/>
      <c r="C7" s="116"/>
      <c r="D7" s="116"/>
      <c r="E7" s="116"/>
      <c r="F7" s="116"/>
      <c r="G7" s="116"/>
      <c r="H7" s="116"/>
      <c r="I7" s="116"/>
    </row>
    <row r="8" spans="1:9" s="60" customFormat="1" ht="12" customHeight="1">
      <c r="A8" s="112"/>
      <c r="B8" s="115" t="s">
        <v>249</v>
      </c>
      <c r="C8" s="116"/>
      <c r="D8" s="116"/>
      <c r="E8" s="116"/>
      <c r="F8" s="116"/>
      <c r="G8" s="116"/>
      <c r="H8" s="116"/>
      <c r="I8" s="116"/>
    </row>
    <row r="9" spans="1:9" s="60" customFormat="1" ht="12" customHeight="1">
      <c r="A9" s="112"/>
      <c r="B9" s="117"/>
      <c r="C9" s="118" t="s">
        <v>201</v>
      </c>
      <c r="D9" s="116"/>
      <c r="E9" s="120" t="s">
        <v>202</v>
      </c>
      <c r="F9" s="116"/>
      <c r="H9" s="116"/>
      <c r="I9" s="116"/>
    </row>
    <row r="10" spans="1:9" s="60" customFormat="1" ht="12" customHeight="1">
      <c r="A10" s="112"/>
      <c r="B10" s="121"/>
      <c r="C10" s="121"/>
      <c r="D10" s="121"/>
      <c r="E10" s="121"/>
      <c r="F10" s="121"/>
      <c r="G10" s="121"/>
      <c r="H10" s="121"/>
      <c r="I10" s="121"/>
    </row>
    <row r="11" spans="1:9" s="60" customFormat="1" ht="12" customHeight="1">
      <c r="A11" s="112"/>
      <c r="B11" s="115" t="s">
        <v>203</v>
      </c>
      <c r="C11" s="115"/>
      <c r="D11" s="115"/>
      <c r="E11" s="115"/>
      <c r="F11" s="115"/>
      <c r="G11" s="115"/>
      <c r="H11" s="115"/>
      <c r="I11" s="115"/>
    </row>
    <row r="12" spans="1:9" s="60" customFormat="1" ht="12" customHeight="1">
      <c r="A12" s="112"/>
      <c r="B12" s="400" t="s">
        <v>204</v>
      </c>
      <c r="C12" s="400"/>
      <c r="D12" s="400"/>
      <c r="E12" s="400"/>
      <c r="F12" s="400"/>
      <c r="G12" s="400"/>
      <c r="H12" s="400"/>
      <c r="I12" s="400"/>
    </row>
    <row r="13" s="60" customFormat="1" ht="12.75">
      <c r="I13" s="71" t="s">
        <v>4</v>
      </c>
    </row>
    <row r="14" spans="1:9" s="60" customFormat="1" ht="12.75">
      <c r="A14" s="417" t="s">
        <v>23</v>
      </c>
      <c r="B14" s="417"/>
      <c r="C14" s="417" t="s">
        <v>1</v>
      </c>
      <c r="D14" s="417" t="s">
        <v>175</v>
      </c>
      <c r="E14" s="417" t="s">
        <v>176</v>
      </c>
      <c r="F14" s="417" t="s">
        <v>177</v>
      </c>
      <c r="G14" s="417"/>
      <c r="H14" s="417" t="s">
        <v>208</v>
      </c>
      <c r="I14" s="417"/>
    </row>
    <row r="15" spans="1:9" s="60" customFormat="1" ht="27" customHeight="1">
      <c r="A15" s="417"/>
      <c r="B15" s="417"/>
      <c r="C15" s="417"/>
      <c r="D15" s="417"/>
      <c r="E15" s="417"/>
      <c r="F15" s="111" t="s">
        <v>24</v>
      </c>
      <c r="G15" s="111" t="s">
        <v>36</v>
      </c>
      <c r="H15" s="417"/>
      <c r="I15" s="417"/>
    </row>
    <row r="16" spans="1:9" s="60" customFormat="1" ht="13.5" thickBot="1">
      <c r="A16" s="415">
        <v>1</v>
      </c>
      <c r="B16" s="415"/>
      <c r="C16" s="113">
        <v>2</v>
      </c>
      <c r="D16" s="113">
        <v>3</v>
      </c>
      <c r="E16" s="113">
        <v>4</v>
      </c>
      <c r="F16" s="113">
        <v>5</v>
      </c>
      <c r="G16" s="113">
        <v>6</v>
      </c>
      <c r="H16" s="416">
        <v>7</v>
      </c>
      <c r="I16" s="416"/>
    </row>
    <row r="17" spans="2:9" s="165" customFormat="1" ht="13.5" thickTop="1">
      <c r="B17" s="169">
        <f>'2019-3 СВОД'!B1119</f>
        <v>1115060</v>
      </c>
      <c r="C17" s="169" t="str">
        <f>'2019-3 СВОД'!C1119</f>
        <v>Програма Інші заходи з розвитку фізичної культури та спорту</v>
      </c>
      <c r="D17" s="43">
        <f>D18+D75</f>
        <v>90991.17000000001</v>
      </c>
      <c r="E17" s="43">
        <f>E18+E75</f>
        <v>14410.7</v>
      </c>
      <c r="F17" s="43">
        <f>F18+F75</f>
        <v>13404</v>
      </c>
      <c r="G17" s="43">
        <f>G18+G75</f>
        <v>1344</v>
      </c>
      <c r="H17" s="402"/>
      <c r="I17" s="402"/>
    </row>
    <row r="18" spans="2:9" s="153" customFormat="1" ht="26.25">
      <c r="B18" s="151">
        <f>'2019-3 СВОД'!B1120</f>
        <v>1115061</v>
      </c>
      <c r="C18" s="151" t="str">
        <f>'2019-3 СВОД'!C1120</f>
        <v>Підпрограма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
      <c r="D18" s="49">
        <f>D19+D54</f>
        <v>1664.3500000000001</v>
      </c>
      <c r="E18" s="49">
        <f>E19+E54</f>
        <v>2030.1999999999998</v>
      </c>
      <c r="F18" s="49">
        <f>F19+F54</f>
        <v>2144</v>
      </c>
      <c r="G18" s="49">
        <f>G19+G54</f>
        <v>295.7</v>
      </c>
      <c r="H18" s="402"/>
      <c r="I18" s="402"/>
    </row>
    <row r="19" spans="1:9" ht="12.75">
      <c r="A19" s="6"/>
      <c r="B19" s="27">
        <v>2000</v>
      </c>
      <c r="C19" s="28" t="s">
        <v>37</v>
      </c>
      <c r="D19" s="33">
        <f>D20+D25+D42+D45+D49+D53</f>
        <v>1664.3500000000001</v>
      </c>
      <c r="E19" s="33">
        <f>E20+E25+E42+E45+E49+E53</f>
        <v>1975.1999999999998</v>
      </c>
      <c r="F19" s="33">
        <f>F20+F25+F42+F45+F49+F53</f>
        <v>2144</v>
      </c>
      <c r="G19" s="33">
        <f>G20+G25+G42+G45+G49+G53</f>
        <v>295.7</v>
      </c>
      <c r="H19" s="402"/>
      <c r="I19" s="402"/>
    </row>
    <row r="20" spans="1:9" ht="12.75" customHeight="1">
      <c r="A20" s="6"/>
      <c r="B20" s="29">
        <v>2100</v>
      </c>
      <c r="C20" s="30" t="s">
        <v>38</v>
      </c>
      <c r="D20" s="35">
        <f>D21+D24</f>
        <v>1254.4</v>
      </c>
      <c r="E20" s="35">
        <f>E21+E24</f>
        <v>1378.3</v>
      </c>
      <c r="F20" s="35">
        <f>F21+F24</f>
        <v>1502.3000000000002</v>
      </c>
      <c r="G20" s="35">
        <f>G21+G24</f>
        <v>22.700000000000003</v>
      </c>
      <c r="H20" s="403" t="s">
        <v>600</v>
      </c>
      <c r="I20" s="404"/>
    </row>
    <row r="21" spans="1:9" ht="12.75">
      <c r="A21" s="6"/>
      <c r="B21" s="29">
        <v>2110</v>
      </c>
      <c r="C21" s="30" t="s">
        <v>39</v>
      </c>
      <c r="D21" s="35">
        <f>D22+D23</f>
        <v>1038.4</v>
      </c>
      <c r="E21" s="35">
        <f>E22+E23</f>
        <v>1129.7</v>
      </c>
      <c r="F21" s="35">
        <f>F22+F23</f>
        <v>1231.4</v>
      </c>
      <c r="G21" s="35">
        <f>G22+G23</f>
        <v>18.6</v>
      </c>
      <c r="H21" s="405"/>
      <c r="I21" s="406"/>
    </row>
    <row r="22" spans="1:9" ht="12.75">
      <c r="A22" s="6"/>
      <c r="B22" s="29">
        <v>2111</v>
      </c>
      <c r="C22" s="30" t="s">
        <v>42</v>
      </c>
      <c r="D22" s="34">
        <f>'2019-3 СВОД'!D1124</f>
        <v>1038.4</v>
      </c>
      <c r="E22" s="34">
        <f>'2019-3 СВОД'!E1124</f>
        <v>1129.7</v>
      </c>
      <c r="F22" s="34">
        <f>'2019-3 СВОД'!F1124</f>
        <v>1231.4</v>
      </c>
      <c r="G22" s="34">
        <f>'2019-3 СВОД'!G1124</f>
        <v>18.6</v>
      </c>
      <c r="H22" s="405"/>
      <c r="I22" s="406"/>
    </row>
    <row r="23" spans="1:9" ht="12.75" customHeight="1" hidden="1">
      <c r="A23" s="6"/>
      <c r="B23" s="29">
        <v>2112</v>
      </c>
      <c r="C23" s="30" t="s">
        <v>43</v>
      </c>
      <c r="D23" s="34">
        <f>'2019-3 СВОД'!D1125</f>
        <v>0</v>
      </c>
      <c r="E23" s="34">
        <f>'2019-3 СВОД'!E1125</f>
        <v>0</v>
      </c>
      <c r="F23" s="34">
        <f>'2019-3 СВОД'!F1125</f>
        <v>0</v>
      </c>
      <c r="G23" s="34">
        <f>'2019-3 СВОД'!G1125</f>
        <v>0</v>
      </c>
      <c r="H23" s="405"/>
      <c r="I23" s="406"/>
    </row>
    <row r="24" spans="1:9" ht="12.75">
      <c r="A24" s="6"/>
      <c r="B24" s="29">
        <v>2120</v>
      </c>
      <c r="C24" s="30" t="s">
        <v>44</v>
      </c>
      <c r="D24" s="34">
        <f>'2019-3 СВОД'!D1126</f>
        <v>216</v>
      </c>
      <c r="E24" s="34">
        <f>'2019-3 СВОД'!E1126</f>
        <v>248.6</v>
      </c>
      <c r="F24" s="34">
        <f>'2019-3 СВОД'!F1126</f>
        <v>270.9</v>
      </c>
      <c r="G24" s="34">
        <f>'2019-3 СВОД'!G1126</f>
        <v>4.1</v>
      </c>
      <c r="H24" s="407"/>
      <c r="I24" s="408"/>
    </row>
    <row r="25" spans="1:9" ht="12.75">
      <c r="A25" s="6"/>
      <c r="B25" s="27">
        <v>2200</v>
      </c>
      <c r="C25" s="28" t="s">
        <v>45</v>
      </c>
      <c r="D25" s="33">
        <f>SUM(D26:D32)+D39</f>
        <v>409.95000000000005</v>
      </c>
      <c r="E25" s="33">
        <f>SUM(E26:E32)+E39</f>
        <v>596.9</v>
      </c>
      <c r="F25" s="33">
        <f>SUM(F26:F32)+F39</f>
        <v>641.7</v>
      </c>
      <c r="G25" s="33">
        <f>SUM(G26:G32)+G39</f>
        <v>273</v>
      </c>
      <c r="H25" s="402"/>
      <c r="I25" s="402"/>
    </row>
    <row r="26" spans="1:9" ht="12.75">
      <c r="A26" s="6"/>
      <c r="B26" s="29">
        <v>2210</v>
      </c>
      <c r="C26" s="30" t="s">
        <v>46</v>
      </c>
      <c r="D26" s="34">
        <f>'2019-3 СВОД'!D1128</f>
        <v>153.9</v>
      </c>
      <c r="E26" s="34">
        <f>'2019-3 СВОД'!E1128</f>
        <v>209.4</v>
      </c>
      <c r="F26" s="34">
        <f>'2019-3 СВОД'!F1128</f>
        <v>204.3</v>
      </c>
      <c r="G26" s="34">
        <f>'2019-3 СВОД'!G1128</f>
        <v>33</v>
      </c>
      <c r="H26" s="402" t="s">
        <v>601</v>
      </c>
      <c r="I26" s="402"/>
    </row>
    <row r="27" spans="1:9" ht="12.75">
      <c r="A27" s="6"/>
      <c r="B27" s="29">
        <v>2220</v>
      </c>
      <c r="C27" s="30" t="s">
        <v>47</v>
      </c>
      <c r="D27" s="34">
        <f>'2019-3 СВОД'!D1129</f>
        <v>8.5</v>
      </c>
      <c r="E27" s="34">
        <f>'2019-3 СВОД'!E1129</f>
        <v>9.5</v>
      </c>
      <c r="F27" s="34">
        <f>'2019-3 СВОД'!F1129</f>
        <v>6.9</v>
      </c>
      <c r="G27" s="34">
        <f>'2019-3 СВОД'!G1129</f>
        <v>0</v>
      </c>
      <c r="H27" s="402"/>
      <c r="I27" s="402"/>
    </row>
    <row r="28" spans="1:9" ht="12.75" customHeight="1">
      <c r="A28" s="6"/>
      <c r="B28" s="29">
        <v>2230</v>
      </c>
      <c r="C28" s="30" t="s">
        <v>48</v>
      </c>
      <c r="D28" s="34">
        <f>'2019-3 СВОД'!D1130</f>
        <v>0</v>
      </c>
      <c r="E28" s="34">
        <f>'2019-3 СВОД'!E1130</f>
        <v>0</v>
      </c>
      <c r="F28" s="34">
        <f>'2019-3 СВОД'!F1130</f>
        <v>0</v>
      </c>
      <c r="G28" s="34">
        <f>'2019-3 СВОД'!G1130</f>
        <v>0</v>
      </c>
      <c r="H28" s="402"/>
      <c r="I28" s="402"/>
    </row>
    <row r="29" spans="1:9" ht="25.5" customHeight="1">
      <c r="A29" s="6"/>
      <c r="B29" s="29">
        <v>2240</v>
      </c>
      <c r="C29" s="30" t="s">
        <v>49</v>
      </c>
      <c r="D29" s="34">
        <f>'2019-3 СВОД'!D1131</f>
        <v>168.9</v>
      </c>
      <c r="E29" s="34">
        <f>'2019-3 СВОД'!E1131</f>
        <v>246.7</v>
      </c>
      <c r="F29" s="34">
        <f>'2019-3 СВОД'!F1131</f>
        <v>215.8</v>
      </c>
      <c r="G29" s="34">
        <f>'2019-3 СВОД'!G1131</f>
        <v>212</v>
      </c>
      <c r="H29" s="403" t="s">
        <v>596</v>
      </c>
      <c r="I29" s="404"/>
    </row>
    <row r="30" spans="1:9" ht="25.5" customHeight="1">
      <c r="A30" s="6"/>
      <c r="B30" s="29">
        <v>2250</v>
      </c>
      <c r="C30" s="30" t="s">
        <v>50</v>
      </c>
      <c r="D30" s="34">
        <f>'2019-3 СВОД'!D1132</f>
        <v>53.87</v>
      </c>
      <c r="E30" s="34">
        <f>'2019-3 СВОД'!E1132</f>
        <v>90</v>
      </c>
      <c r="F30" s="34">
        <f>'2019-3 СВОД'!F1132</f>
        <v>169.7</v>
      </c>
      <c r="G30" s="34">
        <f>'2019-3 СВОД'!G1132</f>
        <v>28</v>
      </c>
      <c r="H30" s="407"/>
      <c r="I30" s="408"/>
    </row>
    <row r="31" spans="1:9" ht="12.75" customHeight="1">
      <c r="A31" s="6"/>
      <c r="B31" s="29">
        <v>2260</v>
      </c>
      <c r="C31" s="30" t="s">
        <v>51</v>
      </c>
      <c r="D31" s="34">
        <f>'2019-3 СВОД'!D1133</f>
        <v>0</v>
      </c>
      <c r="E31" s="34">
        <f>'2019-3 СВОД'!E1133</f>
        <v>0</v>
      </c>
      <c r="F31" s="34">
        <f>'2019-3 СВОД'!F1133</f>
        <v>0</v>
      </c>
      <c r="G31" s="34">
        <f>'2019-3 СВОД'!G1133</f>
        <v>0</v>
      </c>
      <c r="H31" s="402"/>
      <c r="I31" s="402"/>
    </row>
    <row r="32" spans="1:9" ht="12.75">
      <c r="A32" s="6"/>
      <c r="B32" s="27">
        <v>2270</v>
      </c>
      <c r="C32" s="28" t="s">
        <v>52</v>
      </c>
      <c r="D32" s="33">
        <f>D33+D34+D35+D36+D37+D38</f>
        <v>24.78</v>
      </c>
      <c r="E32" s="33">
        <f>E33+E34+E35+E36+E37+E38</f>
        <v>41.300000000000004</v>
      </c>
      <c r="F32" s="33">
        <f>F33+F34+F35+F36+F37+F38</f>
        <v>45</v>
      </c>
      <c r="G32" s="33">
        <f>G33+G34+G35+G36+G37+G38</f>
        <v>0</v>
      </c>
      <c r="H32" s="402"/>
      <c r="I32" s="402"/>
    </row>
    <row r="33" spans="1:9" ht="12.75">
      <c r="A33" s="6"/>
      <c r="B33" s="29">
        <v>2271</v>
      </c>
      <c r="C33" s="30" t="s">
        <v>53</v>
      </c>
      <c r="D33" s="34">
        <f>'2019-3 СВОД'!D1135</f>
        <v>22</v>
      </c>
      <c r="E33" s="34">
        <f>'2019-3 СВОД'!E1135</f>
        <v>31.3</v>
      </c>
      <c r="F33" s="34">
        <f>'2019-3 СВОД'!F1135</f>
        <v>34.3</v>
      </c>
      <c r="G33" s="34">
        <f>'2019-3 СВОД'!G1135</f>
        <v>0</v>
      </c>
      <c r="H33" s="402"/>
      <c r="I33" s="402"/>
    </row>
    <row r="34" spans="1:9" ht="12.75">
      <c r="A34" s="6"/>
      <c r="B34" s="29">
        <v>2272</v>
      </c>
      <c r="C34" s="30" t="s">
        <v>54</v>
      </c>
      <c r="D34" s="34">
        <f>'2019-3 СВОД'!D1136</f>
        <v>0</v>
      </c>
      <c r="E34" s="34">
        <f>'2019-3 СВОД'!E1136</f>
        <v>4.8</v>
      </c>
      <c r="F34" s="34">
        <f>'2019-3 СВОД'!F1136</f>
        <v>5.2</v>
      </c>
      <c r="G34" s="34">
        <f>'2019-3 СВОД'!G1136</f>
        <v>0</v>
      </c>
      <c r="H34" s="402"/>
      <c r="I34" s="402"/>
    </row>
    <row r="35" spans="1:9" ht="12.75">
      <c r="A35" s="6"/>
      <c r="B35" s="29">
        <v>2273</v>
      </c>
      <c r="C35" s="30" t="s">
        <v>55</v>
      </c>
      <c r="D35" s="34">
        <f>'2019-3 СВОД'!D1137</f>
        <v>2.78</v>
      </c>
      <c r="E35" s="34">
        <f>'2019-3 СВОД'!E1137</f>
        <v>5.2</v>
      </c>
      <c r="F35" s="34">
        <f>'2019-3 СВОД'!F1137</f>
        <v>5.5</v>
      </c>
      <c r="G35" s="34">
        <f>'2019-3 СВОД'!G1137</f>
        <v>0</v>
      </c>
      <c r="H35" s="402"/>
      <c r="I35" s="402"/>
    </row>
    <row r="36" spans="1:9" ht="12.75" customHeight="1" hidden="1">
      <c r="A36" s="6"/>
      <c r="B36" s="29">
        <v>2274</v>
      </c>
      <c r="C36" s="30" t="s">
        <v>56</v>
      </c>
      <c r="D36" s="34">
        <f>'2019-3 СВОД'!D1138</f>
        <v>0</v>
      </c>
      <c r="E36" s="34">
        <f>'2019-3 СВОД'!E1138</f>
        <v>0</v>
      </c>
      <c r="F36" s="34">
        <f>'2019-3 СВОД'!F1138</f>
        <v>0</v>
      </c>
      <c r="G36" s="34">
        <f>'2019-3 СВОД'!G1138</f>
        <v>0</v>
      </c>
      <c r="H36" s="402"/>
      <c r="I36" s="402"/>
    </row>
    <row r="37" spans="1:9" ht="12.75" customHeight="1" hidden="1">
      <c r="A37" s="6"/>
      <c r="B37" s="29">
        <v>2275</v>
      </c>
      <c r="C37" s="30" t="s">
        <v>57</v>
      </c>
      <c r="D37" s="34">
        <f>'2019-3 СВОД'!D1139</f>
        <v>0</v>
      </c>
      <c r="E37" s="34">
        <f>'2019-3 СВОД'!E1139</f>
        <v>0</v>
      </c>
      <c r="F37" s="34">
        <f>'2019-3 СВОД'!F1139</f>
        <v>0</v>
      </c>
      <c r="G37" s="34">
        <f>'2019-3 СВОД'!G1139</f>
        <v>0</v>
      </c>
      <c r="H37" s="402"/>
      <c r="I37" s="402"/>
    </row>
    <row r="38" spans="1:9" ht="12.75" customHeight="1" hidden="1">
      <c r="A38" s="6"/>
      <c r="B38" s="31">
        <v>2276</v>
      </c>
      <c r="C38" s="32" t="s">
        <v>58</v>
      </c>
      <c r="D38" s="34">
        <f>'2019-3 СВОД'!D1140</f>
        <v>0</v>
      </c>
      <c r="E38" s="34">
        <f>'2019-3 СВОД'!E1140</f>
        <v>0</v>
      </c>
      <c r="F38" s="34">
        <f>'2019-3 СВОД'!F1140</f>
        <v>0</v>
      </c>
      <c r="G38" s="34">
        <f>'2019-3 СВОД'!G1140</f>
        <v>0</v>
      </c>
      <c r="H38" s="402"/>
      <c r="I38" s="402"/>
    </row>
    <row r="39" spans="1:9" ht="12.75" hidden="1">
      <c r="A39" s="6"/>
      <c r="B39" s="27">
        <v>2280</v>
      </c>
      <c r="C39" s="28" t="s">
        <v>59</v>
      </c>
      <c r="D39" s="33">
        <f>D40+D41</f>
        <v>0</v>
      </c>
      <c r="E39" s="33">
        <f>E40+E41</f>
        <v>0</v>
      </c>
      <c r="F39" s="33">
        <f>F40+F41</f>
        <v>0</v>
      </c>
      <c r="G39" s="33">
        <f>G40+G41</f>
        <v>0</v>
      </c>
      <c r="H39" s="402"/>
      <c r="I39" s="402"/>
    </row>
    <row r="40" spans="1:9" ht="12.75" customHeight="1" hidden="1">
      <c r="A40" s="6"/>
      <c r="B40" s="29">
        <v>2281</v>
      </c>
      <c r="C40" s="30" t="s">
        <v>60</v>
      </c>
      <c r="D40" s="34">
        <f>'2019-3 СВОД'!D1142</f>
        <v>0</v>
      </c>
      <c r="E40" s="34">
        <f>'2019-3 СВОД'!E1142</f>
        <v>0</v>
      </c>
      <c r="F40" s="34">
        <f>'2019-3 СВОД'!F1142</f>
        <v>0</v>
      </c>
      <c r="G40" s="34">
        <f>'2019-3 СВОД'!G1142</f>
        <v>0</v>
      </c>
      <c r="H40" s="402"/>
      <c r="I40" s="402"/>
    </row>
    <row r="41" spans="1:9" ht="12.75" hidden="1">
      <c r="A41" s="6"/>
      <c r="B41" s="29">
        <v>2282</v>
      </c>
      <c r="C41" s="30" t="s">
        <v>61</v>
      </c>
      <c r="D41" s="34">
        <f>'2019-3 СВОД'!D1143</f>
        <v>0</v>
      </c>
      <c r="E41" s="34">
        <f>'2019-3 СВОД'!E1143</f>
        <v>0</v>
      </c>
      <c r="F41" s="34">
        <f>'2019-3 СВОД'!F1143</f>
        <v>0</v>
      </c>
      <c r="G41" s="34">
        <f>'2019-3 СВОД'!G1143</f>
        <v>0</v>
      </c>
      <c r="H41" s="402"/>
      <c r="I41" s="402"/>
    </row>
    <row r="42" spans="1:9" ht="12.75" customHeight="1" hidden="1">
      <c r="A42" s="6"/>
      <c r="B42" s="27">
        <v>2400</v>
      </c>
      <c r="C42" s="28" t="s">
        <v>62</v>
      </c>
      <c r="D42" s="34">
        <f>D43+D44</f>
        <v>0</v>
      </c>
      <c r="E42" s="34">
        <f>E43+E44</f>
        <v>0</v>
      </c>
      <c r="F42" s="34">
        <f>F43+F44</f>
        <v>0</v>
      </c>
      <c r="G42" s="34">
        <f>G43+G44</f>
        <v>0</v>
      </c>
      <c r="H42" s="402"/>
      <c r="I42" s="402"/>
    </row>
    <row r="43" spans="1:9" ht="12.75" customHeight="1" hidden="1">
      <c r="A43" s="6"/>
      <c r="B43" s="29">
        <v>2410</v>
      </c>
      <c r="C43" s="30" t="s">
        <v>63</v>
      </c>
      <c r="D43" s="34">
        <f>'2019-3 СВОД'!D1145</f>
        <v>0</v>
      </c>
      <c r="E43" s="34">
        <f>'2019-3 СВОД'!E1145</f>
        <v>0</v>
      </c>
      <c r="F43" s="34">
        <f>'2019-3 СВОД'!F1145</f>
        <v>0</v>
      </c>
      <c r="G43" s="34">
        <f>'2019-3 СВОД'!G1145</f>
        <v>0</v>
      </c>
      <c r="H43" s="402"/>
      <c r="I43" s="402"/>
    </row>
    <row r="44" spans="1:9" ht="12.75" customHeight="1" hidden="1">
      <c r="A44" s="6"/>
      <c r="B44" s="29">
        <v>2420</v>
      </c>
      <c r="C44" s="30" t="s">
        <v>64</v>
      </c>
      <c r="D44" s="34">
        <f>'2019-3 СВОД'!D1146</f>
        <v>0</v>
      </c>
      <c r="E44" s="34">
        <f>'2019-3 СВОД'!E1146</f>
        <v>0</v>
      </c>
      <c r="F44" s="34">
        <f>'2019-3 СВОД'!F1146</f>
        <v>0</v>
      </c>
      <c r="G44" s="34">
        <f>'2019-3 СВОД'!G1146</f>
        <v>0</v>
      </c>
      <c r="H44" s="402"/>
      <c r="I44" s="402"/>
    </row>
    <row r="45" spans="1:9" ht="12.75" customHeight="1" hidden="1">
      <c r="A45" s="6"/>
      <c r="B45" s="27">
        <v>2600</v>
      </c>
      <c r="C45" s="28" t="s">
        <v>65</v>
      </c>
      <c r="D45" s="33">
        <f>D46+D47+D48</f>
        <v>0</v>
      </c>
      <c r="E45" s="33">
        <f>E46+E47+E48</f>
        <v>0</v>
      </c>
      <c r="F45" s="33">
        <f>F46+F47+F48</f>
        <v>0</v>
      </c>
      <c r="G45" s="33">
        <f>G46+G47+G48</f>
        <v>0</v>
      </c>
      <c r="H45" s="402"/>
      <c r="I45" s="402"/>
    </row>
    <row r="46" spans="1:9" ht="12.75" customHeight="1" hidden="1">
      <c r="A46" s="6"/>
      <c r="B46" s="29">
        <v>2610</v>
      </c>
      <c r="C46" s="30" t="s">
        <v>66</v>
      </c>
      <c r="D46" s="34">
        <f>'2019-3 СВОД'!D1148</f>
        <v>0</v>
      </c>
      <c r="E46" s="34">
        <f>'2019-3 СВОД'!E1148</f>
        <v>0</v>
      </c>
      <c r="F46" s="34">
        <f>'2019-3 СВОД'!F1148</f>
        <v>0</v>
      </c>
      <c r="G46" s="34">
        <f>'2019-3 СВОД'!G1148</f>
        <v>0</v>
      </c>
      <c r="H46" s="402"/>
      <c r="I46" s="402"/>
    </row>
    <row r="47" spans="1:9" ht="12.75" customHeight="1" hidden="1">
      <c r="A47" s="6"/>
      <c r="B47" s="29">
        <v>2620</v>
      </c>
      <c r="C47" s="30" t="s">
        <v>67</v>
      </c>
      <c r="D47" s="34">
        <f>'2019-3 СВОД'!D1149</f>
        <v>0</v>
      </c>
      <c r="E47" s="34">
        <f>'2019-3 СВОД'!E1149</f>
        <v>0</v>
      </c>
      <c r="F47" s="34">
        <f>'2019-3 СВОД'!F1149</f>
        <v>0</v>
      </c>
      <c r="G47" s="34">
        <f>'2019-3 СВОД'!G1149</f>
        <v>0</v>
      </c>
      <c r="H47" s="402"/>
      <c r="I47" s="402"/>
    </row>
    <row r="48" spans="1:9" ht="12.75" customHeight="1" hidden="1">
      <c r="A48" s="6"/>
      <c r="B48" s="29">
        <v>2630</v>
      </c>
      <c r="C48" s="30" t="s">
        <v>68</v>
      </c>
      <c r="D48" s="34">
        <f>'2019-3 СВОД'!D1150</f>
        <v>0</v>
      </c>
      <c r="E48" s="34">
        <f>'2019-3 СВОД'!E1150</f>
        <v>0</v>
      </c>
      <c r="F48" s="34">
        <f>'2019-3 СВОД'!F1150</f>
        <v>0</v>
      </c>
      <c r="G48" s="34">
        <f>'2019-3 СВОД'!G1150</f>
        <v>0</v>
      </c>
      <c r="H48" s="402"/>
      <c r="I48" s="402"/>
    </row>
    <row r="49" spans="1:9" ht="12.75" customHeight="1" hidden="1">
      <c r="A49" s="6"/>
      <c r="B49" s="27">
        <v>2700</v>
      </c>
      <c r="C49" s="28" t="s">
        <v>69</v>
      </c>
      <c r="D49" s="33">
        <f>D50+D51+D52</f>
        <v>0</v>
      </c>
      <c r="E49" s="33">
        <f>E50+E51+E52</f>
        <v>0</v>
      </c>
      <c r="F49" s="33">
        <f>F50+F51+F52</f>
        <v>0</v>
      </c>
      <c r="G49" s="33">
        <f>G50+G51+G52</f>
        <v>0</v>
      </c>
      <c r="H49" s="402"/>
      <c r="I49" s="402"/>
    </row>
    <row r="50" spans="1:9" ht="12.75" customHeight="1" hidden="1">
      <c r="A50" s="6"/>
      <c r="B50" s="29">
        <v>2710</v>
      </c>
      <c r="C50" s="30" t="s">
        <v>70</v>
      </c>
      <c r="D50" s="34">
        <f>'2019-3 СВОД'!D1152</f>
        <v>0</v>
      </c>
      <c r="E50" s="34">
        <f>'2019-3 СВОД'!E1152</f>
        <v>0</v>
      </c>
      <c r="F50" s="34">
        <f>'2019-3 СВОД'!F1152</f>
        <v>0</v>
      </c>
      <c r="G50" s="34">
        <f>'2019-3 СВОД'!G1152</f>
        <v>0</v>
      </c>
      <c r="H50" s="402"/>
      <c r="I50" s="402"/>
    </row>
    <row r="51" spans="1:9" ht="12.75" customHeight="1" hidden="1">
      <c r="A51" s="6"/>
      <c r="B51" s="29">
        <v>2720</v>
      </c>
      <c r="C51" s="30" t="s">
        <v>71</v>
      </c>
      <c r="D51" s="34">
        <f>'2019-3 СВОД'!D1153</f>
        <v>0</v>
      </c>
      <c r="E51" s="34">
        <f>'2019-3 СВОД'!E1153</f>
        <v>0</v>
      </c>
      <c r="F51" s="34">
        <f>'2019-3 СВОД'!F1153</f>
        <v>0</v>
      </c>
      <c r="G51" s="34">
        <f>'2019-3 СВОД'!G1153</f>
        <v>0</v>
      </c>
      <c r="H51" s="402"/>
      <c r="I51" s="402"/>
    </row>
    <row r="52" spans="1:9" ht="12.75" customHeight="1" hidden="1">
      <c r="A52" s="6"/>
      <c r="B52" s="29">
        <v>2730</v>
      </c>
      <c r="C52" s="30" t="s">
        <v>72</v>
      </c>
      <c r="D52" s="34">
        <f>'2019-3 СВОД'!D1154</f>
        <v>0</v>
      </c>
      <c r="E52" s="34">
        <f>'2019-3 СВОД'!E1154</f>
        <v>0</v>
      </c>
      <c r="F52" s="34">
        <f>'2019-3 СВОД'!F1154</f>
        <v>0</v>
      </c>
      <c r="G52" s="34">
        <f>'2019-3 СВОД'!G1154</f>
        <v>0</v>
      </c>
      <c r="H52" s="402"/>
      <c r="I52" s="402"/>
    </row>
    <row r="53" spans="1:9" ht="12.75" hidden="1">
      <c r="A53" s="6"/>
      <c r="B53" s="27">
        <v>2800</v>
      </c>
      <c r="C53" s="28" t="s">
        <v>73</v>
      </c>
      <c r="D53" s="34">
        <f>'2019-3 СВОД'!D1155</f>
        <v>0</v>
      </c>
      <c r="E53" s="34">
        <f>'2019-3 СВОД'!E1155</f>
        <v>0</v>
      </c>
      <c r="F53" s="34">
        <f>'2019-3 СВОД'!F1155</f>
        <v>0</v>
      </c>
      <c r="G53" s="34">
        <f>'2019-3 СВОД'!G1155</f>
        <v>0</v>
      </c>
      <c r="H53" s="402"/>
      <c r="I53" s="402"/>
    </row>
    <row r="54" spans="1:9" ht="12.75">
      <c r="A54" s="21"/>
      <c r="B54" s="27">
        <v>3000</v>
      </c>
      <c r="C54" s="28" t="s">
        <v>40</v>
      </c>
      <c r="D54" s="40">
        <f>D55+D69</f>
        <v>0</v>
      </c>
      <c r="E54" s="40">
        <f>E55+E69</f>
        <v>55</v>
      </c>
      <c r="F54" s="40">
        <f>F55+F69</f>
        <v>0</v>
      </c>
      <c r="G54" s="40">
        <f>G55+G69</f>
        <v>0</v>
      </c>
      <c r="H54" s="402"/>
      <c r="I54" s="402"/>
    </row>
    <row r="55" spans="1:9" ht="12.75">
      <c r="A55" s="21"/>
      <c r="B55" s="27">
        <v>3100</v>
      </c>
      <c r="C55" s="28" t="s">
        <v>41</v>
      </c>
      <c r="D55" s="40">
        <f>D56+D57+D60+D63+D67+D68+D69</f>
        <v>0</v>
      </c>
      <c r="E55" s="40">
        <f>E56+E57+E60+E63+E67+E68+E69</f>
        <v>55</v>
      </c>
      <c r="F55" s="40">
        <f>F56+F57+F60+F63+F67+F68+F69</f>
        <v>0</v>
      </c>
      <c r="G55" s="40">
        <f>G56+G57+G60+G63+G67+G68+G69</f>
        <v>0</v>
      </c>
      <c r="H55" s="402"/>
      <c r="I55" s="402"/>
    </row>
    <row r="56" spans="1:9" ht="12.75">
      <c r="A56" s="21"/>
      <c r="B56" s="29">
        <v>3110</v>
      </c>
      <c r="C56" s="30" t="s">
        <v>74</v>
      </c>
      <c r="D56" s="34">
        <f>'2019-3 СВОД'!D1158</f>
        <v>0</v>
      </c>
      <c r="E56" s="34">
        <f>'2019-3 СВОД'!E1158</f>
        <v>55</v>
      </c>
      <c r="F56" s="34">
        <f>'2019-3 СВОД'!F1158</f>
        <v>0</v>
      </c>
      <c r="G56" s="34">
        <f>'2019-3 СВОД'!G1158</f>
        <v>0</v>
      </c>
      <c r="H56" s="402"/>
      <c r="I56" s="402"/>
    </row>
    <row r="57" spans="1:9" ht="12.75" customHeight="1" hidden="1">
      <c r="A57" s="21"/>
      <c r="B57" s="29">
        <v>3120</v>
      </c>
      <c r="C57" s="30" t="s">
        <v>75</v>
      </c>
      <c r="D57" s="40">
        <f>D58+D59</f>
        <v>0</v>
      </c>
      <c r="E57" s="40">
        <f>E58+E59</f>
        <v>0</v>
      </c>
      <c r="F57" s="40">
        <f>F58+F59</f>
        <v>0</v>
      </c>
      <c r="G57" s="40">
        <f>G58+G59</f>
        <v>0</v>
      </c>
      <c r="H57" s="402"/>
      <c r="I57" s="402"/>
    </row>
    <row r="58" spans="1:9" ht="12.75" customHeight="1" hidden="1">
      <c r="A58" s="21"/>
      <c r="B58" s="29">
        <v>3121</v>
      </c>
      <c r="C58" s="30" t="s">
        <v>76</v>
      </c>
      <c r="D58" s="34">
        <f>'2019-3 СВОД'!D1160</f>
        <v>0</v>
      </c>
      <c r="E58" s="34">
        <f>'2019-3 СВОД'!E1160</f>
        <v>0</v>
      </c>
      <c r="F58" s="34">
        <f>'2019-3 СВОД'!F1160</f>
        <v>0</v>
      </c>
      <c r="G58" s="34">
        <f>'2019-3 СВОД'!G1160</f>
        <v>0</v>
      </c>
      <c r="H58" s="402"/>
      <c r="I58" s="402"/>
    </row>
    <row r="59" spans="1:9" ht="12.75" customHeight="1" hidden="1">
      <c r="A59" s="21"/>
      <c r="B59" s="29">
        <v>3122</v>
      </c>
      <c r="C59" s="30" t="s">
        <v>77</v>
      </c>
      <c r="D59" s="34">
        <f>'2019-3 СВОД'!D1161</f>
        <v>0</v>
      </c>
      <c r="E59" s="34">
        <f>'2019-3 СВОД'!E1161</f>
        <v>0</v>
      </c>
      <c r="F59" s="34">
        <f>'2019-3 СВОД'!F1161</f>
        <v>0</v>
      </c>
      <c r="G59" s="34">
        <f>'2019-3 СВОД'!G1161</f>
        <v>0</v>
      </c>
      <c r="H59" s="402"/>
      <c r="I59" s="402"/>
    </row>
    <row r="60" spans="1:9" ht="12.75" customHeight="1" hidden="1">
      <c r="A60" s="21"/>
      <c r="B60" s="29">
        <v>3130</v>
      </c>
      <c r="C60" s="30" t="s">
        <v>78</v>
      </c>
      <c r="D60" s="40">
        <f>D61+D62</f>
        <v>0</v>
      </c>
      <c r="E60" s="40">
        <f>E61+E62</f>
        <v>0</v>
      </c>
      <c r="F60" s="40">
        <f>F61+F62</f>
        <v>0</v>
      </c>
      <c r="G60" s="40">
        <f>G61+G62</f>
        <v>0</v>
      </c>
      <c r="H60" s="402"/>
      <c r="I60" s="402"/>
    </row>
    <row r="61" spans="1:9" ht="12.75" customHeight="1" hidden="1">
      <c r="A61" s="21"/>
      <c r="B61" s="29">
        <v>3131</v>
      </c>
      <c r="C61" s="30" t="s">
        <v>79</v>
      </c>
      <c r="D61" s="34">
        <f>'2019-3 СВОД'!D1163</f>
        <v>0</v>
      </c>
      <c r="E61" s="34">
        <f>'2019-3 СВОД'!E1163</f>
        <v>0</v>
      </c>
      <c r="F61" s="34">
        <f>'2019-3 СВОД'!F1163</f>
        <v>0</v>
      </c>
      <c r="G61" s="34">
        <f>'2019-3 СВОД'!G1163</f>
        <v>0</v>
      </c>
      <c r="H61" s="402"/>
      <c r="I61" s="402"/>
    </row>
    <row r="62" spans="1:9" ht="12.75" customHeight="1" hidden="1">
      <c r="A62" s="21"/>
      <c r="B62" s="29">
        <v>3132</v>
      </c>
      <c r="C62" s="30" t="s">
        <v>80</v>
      </c>
      <c r="D62" s="34">
        <f>'2019-3 СВОД'!D1164</f>
        <v>0</v>
      </c>
      <c r="E62" s="34">
        <f>'2019-3 СВОД'!E1164</f>
        <v>0</v>
      </c>
      <c r="F62" s="34">
        <f>'2019-3 СВОД'!F1164</f>
        <v>0</v>
      </c>
      <c r="G62" s="34">
        <f>'2019-3 СВОД'!G1164</f>
        <v>0</v>
      </c>
      <c r="H62" s="402"/>
      <c r="I62" s="402"/>
    </row>
    <row r="63" spans="1:9" ht="12.75" customHeight="1" hidden="1">
      <c r="A63" s="21"/>
      <c r="B63" s="29">
        <v>3140</v>
      </c>
      <c r="C63" s="30" t="s">
        <v>81</v>
      </c>
      <c r="D63" s="40">
        <f>D64+D65+D66</f>
        <v>0</v>
      </c>
      <c r="E63" s="40">
        <f>E64+E65+E66</f>
        <v>0</v>
      </c>
      <c r="F63" s="40">
        <f>F64+F65+F66</f>
        <v>0</v>
      </c>
      <c r="G63" s="40">
        <f>G64+G65+G66</f>
        <v>0</v>
      </c>
      <c r="H63" s="402"/>
      <c r="I63" s="402"/>
    </row>
    <row r="64" spans="1:9" ht="12.75" customHeight="1" hidden="1">
      <c r="A64" s="21"/>
      <c r="B64" s="29">
        <v>3141</v>
      </c>
      <c r="C64" s="30" t="s">
        <v>82</v>
      </c>
      <c r="D64" s="34">
        <f>'2019-3 СВОД'!D1166</f>
        <v>0</v>
      </c>
      <c r="E64" s="34">
        <f>'2019-3 СВОД'!E1166</f>
        <v>0</v>
      </c>
      <c r="F64" s="34">
        <f>'2019-3 СВОД'!F1166</f>
        <v>0</v>
      </c>
      <c r="G64" s="34">
        <f>'2019-3 СВОД'!G1166</f>
        <v>0</v>
      </c>
      <c r="H64" s="402"/>
      <c r="I64" s="402"/>
    </row>
    <row r="65" spans="1:9" ht="12.75" customHeight="1" hidden="1">
      <c r="A65" s="21"/>
      <c r="B65" s="29">
        <v>3142</v>
      </c>
      <c r="C65" s="30" t="s">
        <v>83</v>
      </c>
      <c r="D65" s="34">
        <f>'2019-3 СВОД'!D1167</f>
        <v>0</v>
      </c>
      <c r="E65" s="34">
        <f>'2019-3 СВОД'!E1167</f>
        <v>0</v>
      </c>
      <c r="F65" s="34">
        <f>'2019-3 СВОД'!F1167</f>
        <v>0</v>
      </c>
      <c r="G65" s="34">
        <f>'2019-3 СВОД'!G1167</f>
        <v>0</v>
      </c>
      <c r="H65" s="402"/>
      <c r="I65" s="402"/>
    </row>
    <row r="66" spans="1:9" ht="12.75" customHeight="1" hidden="1">
      <c r="A66" s="21"/>
      <c r="B66" s="29">
        <v>3143</v>
      </c>
      <c r="C66" s="30" t="s">
        <v>84</v>
      </c>
      <c r="D66" s="34">
        <f>'2019-3 СВОД'!D1168</f>
        <v>0</v>
      </c>
      <c r="E66" s="34">
        <f>'2019-3 СВОД'!E1168</f>
        <v>0</v>
      </c>
      <c r="F66" s="34">
        <f>'2019-3 СВОД'!F1168</f>
        <v>0</v>
      </c>
      <c r="G66" s="34">
        <f>'2019-3 СВОД'!G1168</f>
        <v>0</v>
      </c>
      <c r="H66" s="402"/>
      <c r="I66" s="402"/>
    </row>
    <row r="67" spans="1:9" ht="12.75" customHeight="1" hidden="1">
      <c r="A67" s="21"/>
      <c r="B67" s="29">
        <v>3150</v>
      </c>
      <c r="C67" s="30" t="s">
        <v>85</v>
      </c>
      <c r="D67" s="34">
        <f>'2019-3 СВОД'!D1169</f>
        <v>0</v>
      </c>
      <c r="E67" s="34">
        <f>'2019-3 СВОД'!E1169</f>
        <v>0</v>
      </c>
      <c r="F67" s="34">
        <f>'2019-3 СВОД'!F1169</f>
        <v>0</v>
      </c>
      <c r="G67" s="34">
        <f>'2019-3 СВОД'!G1169</f>
        <v>0</v>
      </c>
      <c r="H67" s="402"/>
      <c r="I67" s="402"/>
    </row>
    <row r="68" spans="1:9" ht="12.75" customHeight="1" hidden="1">
      <c r="A68" s="21"/>
      <c r="B68" s="29">
        <v>3160</v>
      </c>
      <c r="C68" s="30" t="s">
        <v>86</v>
      </c>
      <c r="D68" s="34">
        <f>'2019-3 СВОД'!D1170</f>
        <v>0</v>
      </c>
      <c r="E68" s="34">
        <f>'2019-3 СВОД'!E1170</f>
        <v>0</v>
      </c>
      <c r="F68" s="34">
        <f>'2019-3 СВОД'!F1170</f>
        <v>0</v>
      </c>
      <c r="G68" s="34">
        <f>'2019-3 СВОД'!G1170</f>
        <v>0</v>
      </c>
      <c r="H68" s="402"/>
      <c r="I68" s="402"/>
    </row>
    <row r="69" spans="1:9" ht="12.75" customHeight="1" hidden="1">
      <c r="A69" s="21"/>
      <c r="B69" s="27">
        <v>3200</v>
      </c>
      <c r="C69" s="28" t="s">
        <v>87</v>
      </c>
      <c r="D69" s="40">
        <f>D70+D71+D72+D73</f>
        <v>0</v>
      </c>
      <c r="E69" s="40">
        <f>E70+E71+E72+E73</f>
        <v>0</v>
      </c>
      <c r="F69" s="40">
        <f>F70+F71+F72+F73</f>
        <v>0</v>
      </c>
      <c r="G69" s="40">
        <f>G70+G71+G72+G73</f>
        <v>0</v>
      </c>
      <c r="H69" s="402"/>
      <c r="I69" s="402"/>
    </row>
    <row r="70" spans="1:9" ht="12.75" customHeight="1" hidden="1">
      <c r="A70" s="21"/>
      <c r="B70" s="29">
        <v>3210</v>
      </c>
      <c r="C70" s="30" t="s">
        <v>88</v>
      </c>
      <c r="D70" s="34">
        <f>'2019-3 СВОД'!D1172</f>
        <v>0</v>
      </c>
      <c r="E70" s="34">
        <f>'2019-3 СВОД'!E1172</f>
        <v>0</v>
      </c>
      <c r="F70" s="34">
        <f>'2019-3 СВОД'!F1172</f>
        <v>0</v>
      </c>
      <c r="G70" s="34">
        <f>'2019-3 СВОД'!G1172</f>
        <v>0</v>
      </c>
      <c r="H70" s="402"/>
      <c r="I70" s="402"/>
    </row>
    <row r="71" spans="1:9" ht="12.75" customHeight="1" hidden="1">
      <c r="A71" s="21"/>
      <c r="B71" s="29">
        <v>3220</v>
      </c>
      <c r="C71" s="30" t="s">
        <v>89</v>
      </c>
      <c r="D71" s="34">
        <f>'2019-3 СВОД'!D1173</f>
        <v>0</v>
      </c>
      <c r="E71" s="34">
        <f>'2019-3 СВОД'!E1173</f>
        <v>0</v>
      </c>
      <c r="F71" s="34">
        <f>'2019-3 СВОД'!F1173</f>
        <v>0</v>
      </c>
      <c r="G71" s="34">
        <f>'2019-3 СВОД'!G1173</f>
        <v>0</v>
      </c>
      <c r="H71" s="402"/>
      <c r="I71" s="402"/>
    </row>
    <row r="72" spans="1:9" ht="12.75" customHeight="1" hidden="1">
      <c r="A72" s="21"/>
      <c r="B72" s="29">
        <v>3230</v>
      </c>
      <c r="C72" s="30" t="s">
        <v>90</v>
      </c>
      <c r="D72" s="34">
        <f>'2019-3 СВОД'!D1174</f>
        <v>0</v>
      </c>
      <c r="E72" s="34">
        <f>'2019-3 СВОД'!E1174</f>
        <v>0</v>
      </c>
      <c r="F72" s="34">
        <f>'2019-3 СВОД'!F1174</f>
        <v>0</v>
      </c>
      <c r="G72" s="34">
        <f>'2019-3 СВОД'!G1174</f>
        <v>0</v>
      </c>
      <c r="H72" s="402"/>
      <c r="I72" s="402"/>
    </row>
    <row r="73" spans="1:9" ht="12.75" customHeight="1" hidden="1">
      <c r="A73" s="21"/>
      <c r="B73" s="29">
        <v>3240</v>
      </c>
      <c r="C73" s="30" t="s">
        <v>91</v>
      </c>
      <c r="D73" s="34">
        <f>'2019-3 СВОД'!D1175</f>
        <v>0</v>
      </c>
      <c r="E73" s="34">
        <f>'2019-3 СВОД'!E1175</f>
        <v>0</v>
      </c>
      <c r="F73" s="34">
        <f>'2019-3 СВОД'!F1175</f>
        <v>0</v>
      </c>
      <c r="G73" s="34">
        <f>'2019-3 СВОД'!G1175</f>
        <v>0</v>
      </c>
      <c r="H73" s="402"/>
      <c r="I73" s="402"/>
    </row>
    <row r="74" spans="1:9" s="19" customFormat="1" ht="13.5" customHeight="1">
      <c r="A74" s="7"/>
      <c r="B74" s="7"/>
      <c r="C74" s="20" t="s">
        <v>3</v>
      </c>
      <c r="D74" s="34">
        <f>D19+D54</f>
        <v>1664.3500000000001</v>
      </c>
      <c r="E74" s="34">
        <f>E19+E54</f>
        <v>2030.1999999999998</v>
      </c>
      <c r="F74" s="34">
        <f>F19+F54</f>
        <v>2144</v>
      </c>
      <c r="G74" s="34">
        <f>G19+G54</f>
        <v>295.7</v>
      </c>
      <c r="H74" s="402"/>
      <c r="I74" s="402"/>
    </row>
    <row r="75" spans="2:9" s="153" customFormat="1" ht="26.25">
      <c r="B75" s="151">
        <f>'2019-3 СВОД'!B1177</f>
        <v>1115062</v>
      </c>
      <c r="C75" s="151" t="str">
        <f>'2019-3 СВОД'!C1177</f>
        <v>Підпрограма Підтримка спорту вищих досягнень та організацій, які здійснюють фізкультурно-спортивну діяльність в регіоні</v>
      </c>
      <c r="D75" s="152">
        <f>D76+D111</f>
        <v>89326.82</v>
      </c>
      <c r="E75" s="152">
        <f>E76+E111</f>
        <v>12380.5</v>
      </c>
      <c r="F75" s="152">
        <f>F76+F111</f>
        <v>11260</v>
      </c>
      <c r="G75" s="152">
        <f>G76+G111</f>
        <v>1048.3</v>
      </c>
      <c r="H75" s="402"/>
      <c r="I75" s="402"/>
    </row>
    <row r="76" spans="1:9" ht="12.75">
      <c r="A76" s="6"/>
      <c r="B76" s="27">
        <v>2000</v>
      </c>
      <c r="C76" s="28" t="s">
        <v>37</v>
      </c>
      <c r="D76" s="33">
        <f>D77+D82+D99+D102+D106+D110</f>
        <v>8507.3</v>
      </c>
      <c r="E76" s="33">
        <f>E77+E82+E99+E102+E106+E110</f>
        <v>10720.1</v>
      </c>
      <c r="F76" s="33">
        <f>F77+F82+F99+F102+F106+F110</f>
        <v>11260</v>
      </c>
      <c r="G76" s="33">
        <f>G77+G82+G99+G102+G106+G110</f>
        <v>1039.8</v>
      </c>
      <c r="H76" s="402"/>
      <c r="I76" s="402"/>
    </row>
    <row r="77" spans="1:9" ht="12.75" customHeight="1">
      <c r="A77" s="6"/>
      <c r="B77" s="29">
        <v>2100</v>
      </c>
      <c r="C77" s="30" t="s">
        <v>38</v>
      </c>
      <c r="D77" s="35">
        <f>D78+D81</f>
        <v>1241.1</v>
      </c>
      <c r="E77" s="35">
        <f>E78+E81</f>
        <v>1425.9699999999998</v>
      </c>
      <c r="F77" s="35">
        <f>F78+F81</f>
        <v>1556</v>
      </c>
      <c r="G77" s="35">
        <f>G78+G81</f>
        <v>9.8</v>
      </c>
      <c r="H77" s="403" t="s">
        <v>600</v>
      </c>
      <c r="I77" s="404"/>
    </row>
    <row r="78" spans="1:9" ht="12.75">
      <c r="A78" s="6"/>
      <c r="B78" s="29">
        <v>2110</v>
      </c>
      <c r="C78" s="30" t="s">
        <v>39</v>
      </c>
      <c r="D78" s="35">
        <f>D79+D80</f>
        <v>1023.9</v>
      </c>
      <c r="E78" s="35">
        <f>E79+E80</f>
        <v>1170.1</v>
      </c>
      <c r="F78" s="35">
        <f>F79+F80</f>
        <v>1275.4</v>
      </c>
      <c r="G78" s="35">
        <f>G79+G80</f>
        <v>8</v>
      </c>
      <c r="H78" s="405"/>
      <c r="I78" s="406"/>
    </row>
    <row r="79" spans="1:9" ht="12.75">
      <c r="A79" s="6"/>
      <c r="B79" s="29">
        <v>2111</v>
      </c>
      <c r="C79" s="30" t="s">
        <v>42</v>
      </c>
      <c r="D79" s="34">
        <f>'2019-3 СВОД'!D1181</f>
        <v>1023.9</v>
      </c>
      <c r="E79" s="34">
        <f>'2019-3 СВОД'!E1181</f>
        <v>1170.1</v>
      </c>
      <c r="F79" s="34">
        <f>'2019-3 СВОД'!F1181</f>
        <v>1275.4</v>
      </c>
      <c r="G79" s="34">
        <f>'2019-3 СВОД'!G1181</f>
        <v>8</v>
      </c>
      <c r="H79" s="405"/>
      <c r="I79" s="406"/>
    </row>
    <row r="80" spans="1:9" ht="12.75" customHeight="1" hidden="1">
      <c r="A80" s="6"/>
      <c r="B80" s="29">
        <v>2112</v>
      </c>
      <c r="C80" s="30" t="s">
        <v>43</v>
      </c>
      <c r="D80" s="34">
        <f>'2019-3 СВОД'!D1182</f>
        <v>0</v>
      </c>
      <c r="E80" s="34">
        <f>'2019-3 СВОД'!E1182</f>
        <v>0</v>
      </c>
      <c r="F80" s="34">
        <f>'2019-3 СВОД'!F1182</f>
        <v>0</v>
      </c>
      <c r="G80" s="34">
        <f>'2019-3 СВОД'!G1182</f>
        <v>0</v>
      </c>
      <c r="H80" s="405"/>
      <c r="I80" s="406"/>
    </row>
    <row r="81" spans="1:9" ht="12.75">
      <c r="A81" s="6"/>
      <c r="B81" s="29">
        <v>2120</v>
      </c>
      <c r="C81" s="30" t="s">
        <v>44</v>
      </c>
      <c r="D81" s="34">
        <f>'2019-3 СВОД'!D1183</f>
        <v>217.2</v>
      </c>
      <c r="E81" s="34">
        <f>'2019-3 СВОД'!E1183</f>
        <v>255.87</v>
      </c>
      <c r="F81" s="34">
        <f>'2019-3 СВОД'!F1183</f>
        <v>280.6</v>
      </c>
      <c r="G81" s="34">
        <f>'2019-3 СВОД'!G1183</f>
        <v>1.8</v>
      </c>
      <c r="H81" s="407"/>
      <c r="I81" s="408"/>
    </row>
    <row r="82" spans="1:9" ht="12.75">
      <c r="A82" s="6"/>
      <c r="B82" s="27">
        <v>2200</v>
      </c>
      <c r="C82" s="28" t="s">
        <v>45</v>
      </c>
      <c r="D82" s="33">
        <f>SUM(D83:D89)+D96</f>
        <v>298.6</v>
      </c>
      <c r="E82" s="33">
        <f>SUM(E83:E89)+E96</f>
        <v>593.5</v>
      </c>
      <c r="F82" s="33">
        <f>SUM(F83:F89)+F96</f>
        <v>400</v>
      </c>
      <c r="G82" s="33">
        <f>SUM(G83:G89)+G96</f>
        <v>30</v>
      </c>
      <c r="H82" s="402"/>
      <c r="I82" s="402"/>
    </row>
    <row r="83" spans="1:9" ht="12.75" customHeight="1">
      <c r="A83" s="6"/>
      <c r="B83" s="29">
        <v>2210</v>
      </c>
      <c r="C83" s="30" t="s">
        <v>46</v>
      </c>
      <c r="D83" s="34">
        <f>'2019-3 СВОД'!D1185</f>
        <v>43</v>
      </c>
      <c r="E83" s="34">
        <f>'2019-3 СВОД'!E1185</f>
        <v>9.5</v>
      </c>
      <c r="F83" s="34">
        <f>'2019-3 СВОД'!F1185</f>
        <v>9.8</v>
      </c>
      <c r="G83" s="34">
        <f>'2019-3 СВОД'!G1185</f>
        <v>0</v>
      </c>
      <c r="H83" s="402"/>
      <c r="I83" s="402"/>
    </row>
    <row r="84" spans="1:9" ht="12.75" customHeight="1">
      <c r="A84" s="6"/>
      <c r="B84" s="29">
        <v>2220</v>
      </c>
      <c r="C84" s="30" t="s">
        <v>47</v>
      </c>
      <c r="D84" s="34">
        <f>'2019-3 СВОД'!D1186</f>
        <v>0</v>
      </c>
      <c r="E84" s="34">
        <f>'2019-3 СВОД'!E1186</f>
        <v>0</v>
      </c>
      <c r="F84" s="34">
        <f>'2019-3 СВОД'!F1186</f>
        <v>0</v>
      </c>
      <c r="G84" s="34">
        <f>'2019-3 СВОД'!G1186</f>
        <v>0</v>
      </c>
      <c r="H84" s="402"/>
      <c r="I84" s="402"/>
    </row>
    <row r="85" spans="1:9" ht="12.75" customHeight="1">
      <c r="A85" s="6"/>
      <c r="B85" s="29">
        <v>2230</v>
      </c>
      <c r="C85" s="30" t="s">
        <v>48</v>
      </c>
      <c r="D85" s="34">
        <f>'2019-3 СВОД'!D1187</f>
        <v>0</v>
      </c>
      <c r="E85" s="34">
        <f>'2019-3 СВОД'!E1187</f>
        <v>0</v>
      </c>
      <c r="F85" s="34">
        <f>'2019-3 СВОД'!F1187</f>
        <v>0</v>
      </c>
      <c r="G85" s="34">
        <f>'2019-3 СВОД'!G1187</f>
        <v>0</v>
      </c>
      <c r="H85" s="402"/>
      <c r="I85" s="402"/>
    </row>
    <row r="86" spans="1:9" ht="50.25" customHeight="1">
      <c r="A86" s="6"/>
      <c r="B86" s="29">
        <v>2240</v>
      </c>
      <c r="C86" s="30" t="s">
        <v>49</v>
      </c>
      <c r="D86" s="34">
        <f>'2019-3 СВОД'!D1188</f>
        <v>237.68</v>
      </c>
      <c r="E86" s="34">
        <f>'2019-3 СВОД'!E1188</f>
        <v>570.4</v>
      </c>
      <c r="F86" s="34">
        <f>'2019-3 СВОД'!F1188</f>
        <v>373.2</v>
      </c>
      <c r="G86" s="34">
        <f>'2019-3 СВОД'!G1188</f>
        <v>30</v>
      </c>
      <c r="H86" s="402" t="s">
        <v>596</v>
      </c>
      <c r="I86" s="402"/>
    </row>
    <row r="87" spans="1:9" ht="12.75">
      <c r="A87" s="6"/>
      <c r="B87" s="29">
        <v>2250</v>
      </c>
      <c r="C87" s="30" t="s">
        <v>50</v>
      </c>
      <c r="D87" s="34">
        <f>'2019-3 СВОД'!D1189</f>
        <v>15.2</v>
      </c>
      <c r="E87" s="34">
        <f>'2019-3 СВОД'!E1189</f>
        <v>10</v>
      </c>
      <c r="F87" s="34">
        <f>'2019-3 СВОД'!F1189</f>
        <v>13.1</v>
      </c>
      <c r="G87" s="34">
        <f>'2019-3 СВОД'!G1189</f>
        <v>0</v>
      </c>
      <c r="H87" s="402"/>
      <c r="I87" s="402"/>
    </row>
    <row r="88" spans="1:9" ht="12.75" customHeight="1">
      <c r="A88" s="6"/>
      <c r="B88" s="29">
        <v>2260</v>
      </c>
      <c r="C88" s="30" t="s">
        <v>51</v>
      </c>
      <c r="D88" s="34">
        <f>'2019-3 СВОД'!D1190</f>
        <v>0</v>
      </c>
      <c r="E88" s="34">
        <f>'2019-3 СВОД'!E1190</f>
        <v>0</v>
      </c>
      <c r="F88" s="34">
        <f>'2019-3 СВОД'!F1190</f>
        <v>0</v>
      </c>
      <c r="G88" s="34">
        <f>'2019-3 СВОД'!G1190</f>
        <v>0</v>
      </c>
      <c r="H88" s="402"/>
      <c r="I88" s="402"/>
    </row>
    <row r="89" spans="1:9" ht="12.75">
      <c r="A89" s="6"/>
      <c r="B89" s="27">
        <v>2270</v>
      </c>
      <c r="C89" s="28" t="s">
        <v>52</v>
      </c>
      <c r="D89" s="33">
        <f>D90+D91+D92+D93+D94+D95</f>
        <v>2.72</v>
      </c>
      <c r="E89" s="33">
        <f>E90+E91+E92+E93+E94+E95</f>
        <v>3.6</v>
      </c>
      <c r="F89" s="33">
        <f>F90+F91+F92+F93+F94+F95</f>
        <v>3.9</v>
      </c>
      <c r="G89" s="33">
        <f>G90+G91+G92+G93+G94+G95</f>
        <v>0</v>
      </c>
      <c r="H89" s="402"/>
      <c r="I89" s="402"/>
    </row>
    <row r="90" spans="1:9" ht="12.75">
      <c r="A90" s="6"/>
      <c r="B90" s="29">
        <v>2271</v>
      </c>
      <c r="C90" s="30" t="s">
        <v>53</v>
      </c>
      <c r="D90" s="34">
        <f>'2019-3 СВОД'!D1192</f>
        <v>2.6</v>
      </c>
      <c r="E90" s="34">
        <f>'2019-3 СВОД'!E1192</f>
        <v>3.4</v>
      </c>
      <c r="F90" s="34">
        <f>'2019-3 СВОД'!F1192</f>
        <v>3.6</v>
      </c>
      <c r="G90" s="34">
        <f>'2019-3 СВОД'!G1192</f>
        <v>0</v>
      </c>
      <c r="H90" s="402"/>
      <c r="I90" s="402"/>
    </row>
    <row r="91" spans="1:9" ht="12.75">
      <c r="A91" s="6"/>
      <c r="B91" s="29">
        <v>2272</v>
      </c>
      <c r="C91" s="30" t="s">
        <v>54</v>
      </c>
      <c r="D91" s="34">
        <f>'2019-3 СВОД'!D1193</f>
        <v>0.12</v>
      </c>
      <c r="E91" s="34">
        <f>'2019-3 СВОД'!E1193</f>
        <v>0.2</v>
      </c>
      <c r="F91" s="34">
        <f>'2019-3 СВОД'!F1193</f>
        <v>0.3</v>
      </c>
      <c r="G91" s="34">
        <f>'2019-3 СВОД'!G1193</f>
        <v>0</v>
      </c>
      <c r="H91" s="402"/>
      <c r="I91" s="402"/>
    </row>
    <row r="92" spans="1:9" ht="12.75" hidden="1">
      <c r="A92" s="6"/>
      <c r="B92" s="29">
        <v>2273</v>
      </c>
      <c r="C92" s="30" t="s">
        <v>55</v>
      </c>
      <c r="D92" s="34">
        <f>'2019-3 СВОД'!D1194</f>
        <v>0</v>
      </c>
      <c r="E92" s="34">
        <f>'2019-3 СВОД'!E1194</f>
        <v>0</v>
      </c>
      <c r="F92" s="34">
        <f>'2019-3 СВОД'!F1194</f>
        <v>0</v>
      </c>
      <c r="G92" s="34">
        <f>'2019-3 СВОД'!G1194</f>
        <v>0</v>
      </c>
      <c r="H92" s="402"/>
      <c r="I92" s="402"/>
    </row>
    <row r="93" spans="1:9" ht="12.75" customHeight="1" hidden="1">
      <c r="A93" s="6"/>
      <c r="B93" s="29">
        <v>2274</v>
      </c>
      <c r="C93" s="30" t="s">
        <v>56</v>
      </c>
      <c r="D93" s="34">
        <f>'2019-3 СВОД'!D1195</f>
        <v>0</v>
      </c>
      <c r="E93" s="34">
        <f>'2019-3 СВОД'!E1195</f>
        <v>0</v>
      </c>
      <c r="F93" s="34">
        <f>'2019-3 СВОД'!F1195</f>
        <v>0</v>
      </c>
      <c r="G93" s="34">
        <f>'2019-3 СВОД'!G1195</f>
        <v>0</v>
      </c>
      <c r="H93" s="402"/>
      <c r="I93" s="402"/>
    </row>
    <row r="94" spans="1:9" ht="12.75" customHeight="1" hidden="1">
      <c r="A94" s="6"/>
      <c r="B94" s="29">
        <v>2275</v>
      </c>
      <c r="C94" s="30" t="s">
        <v>57</v>
      </c>
      <c r="D94" s="34">
        <f>'2019-3 СВОД'!D1196</f>
        <v>0</v>
      </c>
      <c r="E94" s="34">
        <f>'2019-3 СВОД'!E1196</f>
        <v>0</v>
      </c>
      <c r="F94" s="34">
        <f>'2019-3 СВОД'!F1196</f>
        <v>0</v>
      </c>
      <c r="G94" s="34">
        <f>'2019-3 СВОД'!G1196</f>
        <v>0</v>
      </c>
      <c r="H94" s="402"/>
      <c r="I94" s="402"/>
    </row>
    <row r="95" spans="1:9" ht="12.75" customHeight="1" hidden="1">
      <c r="A95" s="6"/>
      <c r="B95" s="31">
        <v>2276</v>
      </c>
      <c r="C95" s="32" t="s">
        <v>58</v>
      </c>
      <c r="D95" s="34">
        <f>'2019-3 СВОД'!D1197</f>
        <v>0</v>
      </c>
      <c r="E95" s="34">
        <f>'2019-3 СВОД'!E1197</f>
        <v>0</v>
      </c>
      <c r="F95" s="34">
        <f>'2019-3 СВОД'!F1197</f>
        <v>0</v>
      </c>
      <c r="G95" s="34">
        <f>'2019-3 СВОД'!G1197</f>
        <v>0</v>
      </c>
      <c r="H95" s="402"/>
      <c r="I95" s="402"/>
    </row>
    <row r="96" spans="1:9" ht="12.75" customHeight="1" hidden="1">
      <c r="A96" s="6"/>
      <c r="B96" s="27">
        <v>2280</v>
      </c>
      <c r="C96" s="28" t="s">
        <v>59</v>
      </c>
      <c r="D96" s="33">
        <f>D97+D98</f>
        <v>0</v>
      </c>
      <c r="E96" s="33">
        <f>E97+E98</f>
        <v>0</v>
      </c>
      <c r="F96" s="33">
        <f>F97+F98</f>
        <v>0</v>
      </c>
      <c r="G96" s="33">
        <f>G97+G98</f>
        <v>0</v>
      </c>
      <c r="H96" s="402"/>
      <c r="I96" s="402"/>
    </row>
    <row r="97" spans="1:9" ht="12.75" customHeight="1" hidden="1">
      <c r="A97" s="6"/>
      <c r="B97" s="29">
        <v>2281</v>
      </c>
      <c r="C97" s="30" t="s">
        <v>60</v>
      </c>
      <c r="D97" s="34">
        <f>'2019-3 СВОД'!D1199</f>
        <v>0</v>
      </c>
      <c r="E97" s="34">
        <f>'2019-3 СВОД'!E1199</f>
        <v>0</v>
      </c>
      <c r="F97" s="34">
        <f>'2019-3 СВОД'!F1199</f>
        <v>0</v>
      </c>
      <c r="G97" s="34">
        <f>'2019-3 СВОД'!G1199</f>
        <v>0</v>
      </c>
      <c r="H97" s="402"/>
      <c r="I97" s="402"/>
    </row>
    <row r="98" spans="1:9" ht="12.75" customHeight="1" hidden="1">
      <c r="A98" s="6"/>
      <c r="B98" s="29">
        <v>2282</v>
      </c>
      <c r="C98" s="30" t="s">
        <v>61</v>
      </c>
      <c r="D98" s="34">
        <f>'2019-3 СВОД'!D1200</f>
        <v>0</v>
      </c>
      <c r="E98" s="34">
        <f>'2019-3 СВОД'!E1200</f>
        <v>0</v>
      </c>
      <c r="F98" s="34">
        <f>'2019-3 СВОД'!F1200</f>
        <v>0</v>
      </c>
      <c r="G98" s="34">
        <f>'2019-3 СВОД'!G1200</f>
        <v>0</v>
      </c>
      <c r="H98" s="402"/>
      <c r="I98" s="402"/>
    </row>
    <row r="99" spans="1:9" ht="12.75" customHeight="1" hidden="1">
      <c r="A99" s="6"/>
      <c r="B99" s="27">
        <v>2400</v>
      </c>
      <c r="C99" s="28" t="s">
        <v>62</v>
      </c>
      <c r="D99" s="34">
        <f>D100+D101</f>
        <v>0</v>
      </c>
      <c r="E99" s="34">
        <f>E100+E101</f>
        <v>0</v>
      </c>
      <c r="F99" s="34">
        <f>F100+F101</f>
        <v>0</v>
      </c>
      <c r="G99" s="34">
        <f>G100+G101</f>
        <v>0</v>
      </c>
      <c r="H99" s="402"/>
      <c r="I99" s="402"/>
    </row>
    <row r="100" spans="1:9" ht="12.75" customHeight="1" hidden="1">
      <c r="A100" s="6"/>
      <c r="B100" s="29">
        <v>2410</v>
      </c>
      <c r="C100" s="30" t="s">
        <v>63</v>
      </c>
      <c r="D100" s="34">
        <f>'2019-3 СВОД'!D1202</f>
        <v>0</v>
      </c>
      <c r="E100" s="34">
        <f>'2019-3 СВОД'!E1202</f>
        <v>0</v>
      </c>
      <c r="F100" s="34">
        <f>'2019-3 СВОД'!F1202</f>
        <v>0</v>
      </c>
      <c r="G100" s="34">
        <f>'2019-3 СВОД'!G1202</f>
        <v>0</v>
      </c>
      <c r="H100" s="402"/>
      <c r="I100" s="402"/>
    </row>
    <row r="101" spans="1:9" ht="12.75" customHeight="1" hidden="1">
      <c r="A101" s="6"/>
      <c r="B101" s="29">
        <v>2420</v>
      </c>
      <c r="C101" s="30" t="s">
        <v>64</v>
      </c>
      <c r="D101" s="34">
        <f>'2019-3 СВОД'!D1203</f>
        <v>0</v>
      </c>
      <c r="E101" s="34">
        <f>'2019-3 СВОД'!E1203</f>
        <v>0</v>
      </c>
      <c r="F101" s="34">
        <f>'2019-3 СВОД'!F1203</f>
        <v>0</v>
      </c>
      <c r="G101" s="34">
        <f>'2019-3 СВОД'!G1203</f>
        <v>0</v>
      </c>
      <c r="H101" s="402"/>
      <c r="I101" s="402"/>
    </row>
    <row r="102" spans="1:9" ht="12.75" customHeight="1" hidden="1">
      <c r="A102" s="6"/>
      <c r="B102" s="27">
        <v>2600</v>
      </c>
      <c r="C102" s="28" t="s">
        <v>65</v>
      </c>
      <c r="D102" s="33">
        <f>D103+D104+D105</f>
        <v>0</v>
      </c>
      <c r="E102" s="33">
        <f>E103+E104+E105</f>
        <v>0</v>
      </c>
      <c r="F102" s="33">
        <f>F103+F104+F105</f>
        <v>0</v>
      </c>
      <c r="G102" s="33">
        <f>G103+G104+G105</f>
        <v>0</v>
      </c>
      <c r="H102" s="402"/>
      <c r="I102" s="402"/>
    </row>
    <row r="103" spans="1:9" ht="12.75" customHeight="1" hidden="1">
      <c r="A103" s="6"/>
      <c r="B103" s="29">
        <v>2610</v>
      </c>
      <c r="C103" s="30" t="s">
        <v>66</v>
      </c>
      <c r="D103" s="34">
        <f>'2019-3 СВОД'!D1205</f>
        <v>0</v>
      </c>
      <c r="E103" s="34">
        <f>'2019-3 СВОД'!E1205</f>
        <v>0</v>
      </c>
      <c r="F103" s="34">
        <f>'2019-3 СВОД'!F1205</f>
        <v>0</v>
      </c>
      <c r="G103" s="34">
        <f>'2019-3 СВОД'!G1205</f>
        <v>0</v>
      </c>
      <c r="H103" s="402"/>
      <c r="I103" s="402"/>
    </row>
    <row r="104" spans="1:9" ht="12.75" customHeight="1" hidden="1">
      <c r="A104" s="6"/>
      <c r="B104" s="29">
        <v>2620</v>
      </c>
      <c r="C104" s="30" t="s">
        <v>67</v>
      </c>
      <c r="D104" s="34">
        <f>'2019-3 СВОД'!D1206</f>
        <v>0</v>
      </c>
      <c r="E104" s="34">
        <f>'2019-3 СВОД'!E1206</f>
        <v>0</v>
      </c>
      <c r="F104" s="34">
        <f>'2019-3 СВОД'!F1206</f>
        <v>0</v>
      </c>
      <c r="G104" s="34">
        <f>'2019-3 СВОД'!G1206</f>
        <v>0</v>
      </c>
      <c r="H104" s="402"/>
      <c r="I104" s="402"/>
    </row>
    <row r="105" spans="1:9" ht="12.75" customHeight="1" hidden="1">
      <c r="A105" s="6"/>
      <c r="B105" s="29">
        <v>2630</v>
      </c>
      <c r="C105" s="30" t="s">
        <v>68</v>
      </c>
      <c r="D105" s="34">
        <f>'2019-3 СВОД'!D1207</f>
        <v>0</v>
      </c>
      <c r="E105" s="34">
        <f>'2019-3 СВОД'!E1207</f>
        <v>0</v>
      </c>
      <c r="F105" s="34">
        <f>'2019-3 СВОД'!F1207</f>
        <v>0</v>
      </c>
      <c r="G105" s="34">
        <f>'2019-3 СВОД'!G1207</f>
        <v>0</v>
      </c>
      <c r="H105" s="402"/>
      <c r="I105" s="402"/>
    </row>
    <row r="106" spans="1:9" ht="12.75">
      <c r="A106" s="6"/>
      <c r="B106" s="27">
        <v>2700</v>
      </c>
      <c r="C106" s="28" t="s">
        <v>69</v>
      </c>
      <c r="D106" s="33">
        <f>D107+D108+D109</f>
        <v>6967.6</v>
      </c>
      <c r="E106" s="33">
        <f>E107+E108+E109</f>
        <v>8700.1</v>
      </c>
      <c r="F106" s="33">
        <f>F107+F108+F109</f>
        <v>9304</v>
      </c>
      <c r="G106" s="33">
        <f>G107+G108+G109</f>
        <v>1000</v>
      </c>
      <c r="H106" s="402"/>
      <c r="I106" s="402"/>
    </row>
    <row r="107" spans="1:9" ht="12.75" customHeight="1" hidden="1">
      <c r="A107" s="6"/>
      <c r="B107" s="29">
        <v>2710</v>
      </c>
      <c r="C107" s="30" t="s">
        <v>70</v>
      </c>
      <c r="D107" s="34">
        <f>'2019-3 СВОД'!D1209</f>
        <v>0</v>
      </c>
      <c r="E107" s="34">
        <f>'2019-3 СВОД'!E1209</f>
        <v>0</v>
      </c>
      <c r="F107" s="34">
        <f>'2019-3 СВОД'!F1209</f>
        <v>0</v>
      </c>
      <c r="G107" s="34">
        <f>'2019-3 СВОД'!G1209</f>
        <v>0</v>
      </c>
      <c r="H107" s="402"/>
      <c r="I107" s="402"/>
    </row>
    <row r="108" spans="1:9" ht="12.75" customHeight="1" hidden="1">
      <c r="A108" s="6"/>
      <c r="B108" s="29">
        <v>2720</v>
      </c>
      <c r="C108" s="30" t="s">
        <v>71</v>
      </c>
      <c r="D108" s="34">
        <f>'2019-3 СВОД'!D1210</f>
        <v>0</v>
      </c>
      <c r="E108" s="34">
        <f>'2019-3 СВОД'!E1210</f>
        <v>0</v>
      </c>
      <c r="F108" s="34">
        <f>'2019-3 СВОД'!F1210</f>
        <v>0</v>
      </c>
      <c r="G108" s="34">
        <f>'2019-3 СВОД'!G1210</f>
        <v>0</v>
      </c>
      <c r="H108" s="402"/>
      <c r="I108" s="402"/>
    </row>
    <row r="109" spans="1:9" ht="13.5" customHeight="1">
      <c r="A109" s="6"/>
      <c r="B109" s="29">
        <v>2730</v>
      </c>
      <c r="C109" s="30" t="s">
        <v>72</v>
      </c>
      <c r="D109" s="34">
        <f>'2019-3 СВОД'!D1211</f>
        <v>6967.6</v>
      </c>
      <c r="E109" s="34">
        <f>'2019-3 СВОД'!E1211</f>
        <v>8700.1</v>
      </c>
      <c r="F109" s="34">
        <f>'2019-3 СВОД'!F1211</f>
        <v>9304</v>
      </c>
      <c r="G109" s="34">
        <f>'2019-3 СВОД'!G1211</f>
        <v>1000</v>
      </c>
      <c r="H109" s="402"/>
      <c r="I109" s="402"/>
    </row>
    <row r="110" spans="1:9" ht="12.75">
      <c r="A110" s="6"/>
      <c r="B110" s="27">
        <v>2800</v>
      </c>
      <c r="C110" s="28" t="s">
        <v>73</v>
      </c>
      <c r="D110" s="34">
        <f>'2019-3 СВОД'!D1212</f>
        <v>0</v>
      </c>
      <c r="E110" s="34">
        <f>'2019-3 СВОД'!E1212</f>
        <v>0.53</v>
      </c>
      <c r="F110" s="34">
        <f>'2019-3 СВОД'!F1212</f>
        <v>0</v>
      </c>
      <c r="G110" s="34">
        <f>'2019-3 СВОД'!G1212</f>
        <v>0</v>
      </c>
      <c r="H110" s="402"/>
      <c r="I110" s="402"/>
    </row>
    <row r="111" spans="1:9" ht="13.5" customHeight="1">
      <c r="A111" s="21"/>
      <c r="B111" s="27">
        <v>3000</v>
      </c>
      <c r="C111" s="28" t="s">
        <v>40</v>
      </c>
      <c r="D111" s="40">
        <f>D112+D126</f>
        <v>80819.52</v>
      </c>
      <c r="E111" s="40">
        <f>E112+E126</f>
        <v>1660.4</v>
      </c>
      <c r="F111" s="40">
        <f>F112+F126</f>
        <v>0</v>
      </c>
      <c r="G111" s="40">
        <f>G112+G126</f>
        <v>8.5</v>
      </c>
      <c r="H111" s="403" t="s">
        <v>602</v>
      </c>
      <c r="I111" s="404"/>
    </row>
    <row r="112" spans="1:10" ht="13.5" customHeight="1">
      <c r="A112" s="21"/>
      <c r="B112" s="27">
        <v>3100</v>
      </c>
      <c r="C112" s="28" t="s">
        <v>41</v>
      </c>
      <c r="D112" s="40">
        <f>D113+D114+D117+D120+D124+D125+D126</f>
        <v>80819.52</v>
      </c>
      <c r="E112" s="40">
        <f>E113+E114+E117+E120+E124+E125+E126</f>
        <v>1660.4</v>
      </c>
      <c r="F112" s="40">
        <f>F113+F114+F117+F120+F124+F125+F126</f>
        <v>0</v>
      </c>
      <c r="G112" s="40">
        <f>G113+G114+G117+G120+G124+G125+G126</f>
        <v>8.5</v>
      </c>
      <c r="H112" s="405"/>
      <c r="I112" s="406"/>
      <c r="J112" s="51"/>
    </row>
    <row r="113" spans="1:9" ht="13.5" customHeight="1">
      <c r="A113" s="21"/>
      <c r="B113" s="29">
        <v>3110</v>
      </c>
      <c r="C113" s="30" t="s">
        <v>74</v>
      </c>
      <c r="D113" s="42">
        <v>80819.52</v>
      </c>
      <c r="E113" s="42">
        <v>1660.4</v>
      </c>
      <c r="F113" s="41"/>
      <c r="G113" s="41">
        <v>8.5</v>
      </c>
      <c r="H113" s="407"/>
      <c r="I113" s="408"/>
    </row>
    <row r="114" spans="1:9" ht="12.75" customHeight="1" hidden="1">
      <c r="A114" s="21"/>
      <c r="B114" s="29">
        <v>3120</v>
      </c>
      <c r="C114" s="30" t="s">
        <v>75</v>
      </c>
      <c r="D114" s="40">
        <f>D115+D116</f>
        <v>0</v>
      </c>
      <c r="E114" s="40">
        <f>E115+E116</f>
        <v>0</v>
      </c>
      <c r="F114" s="40">
        <f>F115+F116</f>
        <v>0</v>
      </c>
      <c r="G114" s="40">
        <f>G115+G116</f>
        <v>0</v>
      </c>
      <c r="H114" s="402"/>
      <c r="I114" s="402"/>
    </row>
    <row r="115" spans="1:9" ht="12.75" customHeight="1" hidden="1">
      <c r="A115" s="21"/>
      <c r="B115" s="29">
        <v>3121</v>
      </c>
      <c r="C115" s="30" t="s">
        <v>76</v>
      </c>
      <c r="D115" s="34">
        <f>'2019-3 СВОД'!D1217</f>
        <v>0</v>
      </c>
      <c r="E115" s="34">
        <f>'2019-3 СВОД'!E1217</f>
        <v>0</v>
      </c>
      <c r="F115" s="34">
        <f>'2019-3 СВОД'!F1217</f>
        <v>0</v>
      </c>
      <c r="G115" s="34">
        <f>'2019-3 СВОД'!G1217</f>
        <v>0</v>
      </c>
      <c r="H115" s="402"/>
      <c r="I115" s="402"/>
    </row>
    <row r="116" spans="1:9" ht="12.75" customHeight="1" hidden="1">
      <c r="A116" s="21"/>
      <c r="B116" s="29">
        <v>3122</v>
      </c>
      <c r="C116" s="30" t="s">
        <v>77</v>
      </c>
      <c r="D116" s="34">
        <f>'2019-3 СВОД'!D1218</f>
        <v>0</v>
      </c>
      <c r="E116" s="34">
        <f>'2019-3 СВОД'!E1218</f>
        <v>0</v>
      </c>
      <c r="F116" s="34">
        <f>'2019-3 СВОД'!F1218</f>
        <v>0</v>
      </c>
      <c r="G116" s="34">
        <f>'2019-3 СВОД'!G1218</f>
        <v>0</v>
      </c>
      <c r="H116" s="402"/>
      <c r="I116" s="402"/>
    </row>
    <row r="117" spans="1:9" ht="12.75" customHeight="1" hidden="1">
      <c r="A117" s="21"/>
      <c r="B117" s="29">
        <v>3130</v>
      </c>
      <c r="C117" s="30" t="s">
        <v>78</v>
      </c>
      <c r="D117" s="40">
        <f>D118+D119</f>
        <v>0</v>
      </c>
      <c r="E117" s="40">
        <f>E118+E119</f>
        <v>0</v>
      </c>
      <c r="F117" s="40">
        <f>F118+F119</f>
        <v>0</v>
      </c>
      <c r="G117" s="40">
        <f>G118+G119</f>
        <v>0</v>
      </c>
      <c r="H117" s="402"/>
      <c r="I117" s="402"/>
    </row>
    <row r="118" spans="1:9" ht="12.75" customHeight="1" hidden="1">
      <c r="A118" s="21"/>
      <c r="B118" s="29">
        <v>3131</v>
      </c>
      <c r="C118" s="30" t="s">
        <v>79</v>
      </c>
      <c r="D118" s="34">
        <f>'2019-3 СВОД'!D1220</f>
        <v>0</v>
      </c>
      <c r="E118" s="34">
        <f>'2019-3 СВОД'!E1220</f>
        <v>0</v>
      </c>
      <c r="F118" s="34">
        <f>'2019-3 СВОД'!F1220</f>
        <v>0</v>
      </c>
      <c r="G118" s="34">
        <f>'2019-3 СВОД'!G1220</f>
        <v>0</v>
      </c>
      <c r="H118" s="402"/>
      <c r="I118" s="402"/>
    </row>
    <row r="119" spans="1:9" ht="12.75" customHeight="1" hidden="1">
      <c r="A119" s="21"/>
      <c r="B119" s="29">
        <v>3132</v>
      </c>
      <c r="C119" s="30" t="s">
        <v>80</v>
      </c>
      <c r="D119" s="34">
        <f>'2019-3 СВОД'!D1221</f>
        <v>0</v>
      </c>
      <c r="E119" s="34">
        <f>'2019-3 СВОД'!E1221</f>
        <v>0</v>
      </c>
      <c r="F119" s="34">
        <f>'2019-3 СВОД'!F1221</f>
        <v>0</v>
      </c>
      <c r="G119" s="34">
        <f>'2019-3 СВОД'!G1221</f>
        <v>0</v>
      </c>
      <c r="H119" s="402"/>
      <c r="I119" s="402"/>
    </row>
    <row r="120" spans="1:9" ht="12.75" customHeight="1" hidden="1">
      <c r="A120" s="21"/>
      <c r="B120" s="29">
        <v>3140</v>
      </c>
      <c r="C120" s="30" t="s">
        <v>81</v>
      </c>
      <c r="D120" s="40">
        <f>D121+D122+D123</f>
        <v>0</v>
      </c>
      <c r="E120" s="40">
        <f>E121+E122+E123</f>
        <v>0</v>
      </c>
      <c r="F120" s="40">
        <f>F121+F122+F123</f>
        <v>0</v>
      </c>
      <c r="G120" s="40">
        <f>G121+G122+G123</f>
        <v>0</v>
      </c>
      <c r="H120" s="402"/>
      <c r="I120" s="402"/>
    </row>
    <row r="121" spans="1:9" ht="12.75" customHeight="1" hidden="1">
      <c r="A121" s="21"/>
      <c r="B121" s="29">
        <v>3141</v>
      </c>
      <c r="C121" s="30" t="s">
        <v>82</v>
      </c>
      <c r="D121" s="34">
        <f>'2019-3 СВОД'!D1223</f>
        <v>0</v>
      </c>
      <c r="E121" s="34">
        <f>'2019-3 СВОД'!E1223</f>
        <v>0</v>
      </c>
      <c r="F121" s="34">
        <f>'2019-3 СВОД'!F1223</f>
        <v>0</v>
      </c>
      <c r="G121" s="34">
        <f>'2019-3 СВОД'!G1223</f>
        <v>0</v>
      </c>
      <c r="H121" s="402"/>
      <c r="I121" s="402"/>
    </row>
    <row r="122" spans="1:9" ht="12.75" customHeight="1" hidden="1">
      <c r="A122" s="21"/>
      <c r="B122" s="29">
        <v>3142</v>
      </c>
      <c r="C122" s="30" t="s">
        <v>83</v>
      </c>
      <c r="D122" s="34">
        <f>'2019-3 СВОД'!D1224</f>
        <v>0</v>
      </c>
      <c r="E122" s="34">
        <f>'2019-3 СВОД'!E1224</f>
        <v>0</v>
      </c>
      <c r="F122" s="34">
        <f>'2019-3 СВОД'!F1224</f>
        <v>0</v>
      </c>
      <c r="G122" s="34">
        <f>'2019-3 СВОД'!G1224</f>
        <v>0</v>
      </c>
      <c r="H122" s="402"/>
      <c r="I122" s="402"/>
    </row>
    <row r="123" spans="1:9" ht="12.75" customHeight="1" hidden="1">
      <c r="A123" s="21"/>
      <c r="B123" s="29">
        <v>3143</v>
      </c>
      <c r="C123" s="30" t="s">
        <v>84</v>
      </c>
      <c r="D123" s="34">
        <f>'2019-3 СВОД'!D1225</f>
        <v>0</v>
      </c>
      <c r="E123" s="34">
        <f>'2019-3 СВОД'!E1225</f>
        <v>0</v>
      </c>
      <c r="F123" s="34">
        <f>'2019-3 СВОД'!F1225</f>
        <v>0</v>
      </c>
      <c r="G123" s="34">
        <f>'2019-3 СВОД'!G1225</f>
        <v>0</v>
      </c>
      <c r="H123" s="402"/>
      <c r="I123" s="402"/>
    </row>
    <row r="124" spans="1:9" ht="12.75" customHeight="1" hidden="1">
      <c r="A124" s="21"/>
      <c r="B124" s="29">
        <v>3150</v>
      </c>
      <c r="C124" s="30" t="s">
        <v>85</v>
      </c>
      <c r="D124" s="34">
        <f>'2019-3 СВОД'!D1226</f>
        <v>0</v>
      </c>
      <c r="E124" s="34">
        <f>'2019-3 СВОД'!E1226</f>
        <v>0</v>
      </c>
      <c r="F124" s="34">
        <f>'2019-3 СВОД'!F1226</f>
        <v>0</v>
      </c>
      <c r="G124" s="34">
        <f>'2019-3 СВОД'!G1226</f>
        <v>0</v>
      </c>
      <c r="H124" s="402"/>
      <c r="I124" s="402"/>
    </row>
    <row r="125" spans="1:9" ht="12.75" customHeight="1" hidden="1">
      <c r="A125" s="21"/>
      <c r="B125" s="29">
        <v>3160</v>
      </c>
      <c r="C125" s="30" t="s">
        <v>86</v>
      </c>
      <c r="D125" s="34">
        <f>'2019-3 СВОД'!D1227</f>
        <v>0</v>
      </c>
      <c r="E125" s="34">
        <f>'2019-3 СВОД'!E1227</f>
        <v>0</v>
      </c>
      <c r="F125" s="34">
        <f>'2019-3 СВОД'!F1227</f>
        <v>0</v>
      </c>
      <c r="G125" s="34">
        <f>'2019-3 СВОД'!G1227</f>
        <v>0</v>
      </c>
      <c r="H125" s="402"/>
      <c r="I125" s="402"/>
    </row>
    <row r="126" spans="1:9" ht="12.75" customHeight="1" hidden="1">
      <c r="A126" s="21"/>
      <c r="B126" s="27">
        <v>3200</v>
      </c>
      <c r="C126" s="28" t="s">
        <v>87</v>
      </c>
      <c r="D126" s="40">
        <f>D127+D128+D129+D130</f>
        <v>0</v>
      </c>
      <c r="E126" s="40">
        <f>E127+E128+E129+E130</f>
        <v>0</v>
      </c>
      <c r="F126" s="40">
        <f>F127+F128+F129+F130</f>
        <v>0</v>
      </c>
      <c r="G126" s="40">
        <f>G127+G128+G129+G130</f>
        <v>0</v>
      </c>
      <c r="H126" s="402"/>
      <c r="I126" s="402"/>
    </row>
    <row r="127" spans="1:9" ht="12.75" customHeight="1" hidden="1">
      <c r="A127" s="21"/>
      <c r="B127" s="29">
        <v>3210</v>
      </c>
      <c r="C127" s="30" t="s">
        <v>88</v>
      </c>
      <c r="D127" s="34">
        <f>'2019-3 СВОД'!D1229</f>
        <v>0</v>
      </c>
      <c r="E127" s="34">
        <f>'2019-3 СВОД'!E1229</f>
        <v>0</v>
      </c>
      <c r="F127" s="34">
        <f>'2019-3 СВОД'!F1229</f>
        <v>0</v>
      </c>
      <c r="G127" s="34">
        <f>'2019-3 СВОД'!G1229</f>
        <v>0</v>
      </c>
      <c r="H127" s="402"/>
      <c r="I127" s="402"/>
    </row>
    <row r="128" spans="1:9" ht="12.75" customHeight="1" hidden="1">
      <c r="A128" s="21"/>
      <c r="B128" s="29">
        <v>3220</v>
      </c>
      <c r="C128" s="30" t="s">
        <v>89</v>
      </c>
      <c r="D128" s="34">
        <f>'2019-3 СВОД'!D1230</f>
        <v>0</v>
      </c>
      <c r="E128" s="34">
        <f>'2019-3 СВОД'!E1230</f>
        <v>0</v>
      </c>
      <c r="F128" s="34">
        <f>'2019-3 СВОД'!F1230</f>
        <v>0</v>
      </c>
      <c r="G128" s="34">
        <f>'2019-3 СВОД'!G1230</f>
        <v>0</v>
      </c>
      <c r="H128" s="402"/>
      <c r="I128" s="402"/>
    </row>
    <row r="129" spans="1:9" ht="12.75" customHeight="1" hidden="1">
      <c r="A129" s="21"/>
      <c r="B129" s="29">
        <v>3230</v>
      </c>
      <c r="C129" s="30" t="s">
        <v>90</v>
      </c>
      <c r="D129" s="34">
        <f>'2019-3 СВОД'!D1231</f>
        <v>0</v>
      </c>
      <c r="E129" s="34">
        <f>'2019-3 СВОД'!E1231</f>
        <v>0</v>
      </c>
      <c r="F129" s="34">
        <f>'2019-3 СВОД'!F1231</f>
        <v>0</v>
      </c>
      <c r="G129" s="34">
        <f>'2019-3 СВОД'!G1231</f>
        <v>0</v>
      </c>
      <c r="H129" s="402"/>
      <c r="I129" s="402"/>
    </row>
    <row r="130" spans="1:9" ht="12.75" customHeight="1" hidden="1">
      <c r="A130" s="21"/>
      <c r="B130" s="29">
        <v>3240</v>
      </c>
      <c r="C130" s="30" t="s">
        <v>91</v>
      </c>
      <c r="D130" s="34">
        <f>'2019-3 СВОД'!D1232</f>
        <v>0</v>
      </c>
      <c r="E130" s="34">
        <f>'2019-3 СВОД'!E1232</f>
        <v>0</v>
      </c>
      <c r="F130" s="34">
        <f>'2019-3 СВОД'!F1232</f>
        <v>0</v>
      </c>
      <c r="G130" s="34">
        <f>'2019-3 СВОД'!G1232</f>
        <v>0</v>
      </c>
      <c r="H130" s="402"/>
      <c r="I130" s="402"/>
    </row>
    <row r="131" spans="1:9" s="19" customFormat="1" ht="13.5" customHeight="1">
      <c r="A131" s="7"/>
      <c r="B131" s="7"/>
      <c r="C131" s="20" t="s">
        <v>3</v>
      </c>
      <c r="D131" s="34">
        <f>D76+D111</f>
        <v>89326.82</v>
      </c>
      <c r="E131" s="34">
        <f>E76+E111</f>
        <v>12380.5</v>
      </c>
      <c r="F131" s="34">
        <f>F76+F111</f>
        <v>11260</v>
      </c>
      <c r="G131" s="34">
        <f>G76+G111</f>
        <v>1048.3</v>
      </c>
      <c r="H131" s="402"/>
      <c r="I131" s="402"/>
    </row>
    <row r="132" spans="1:8" ht="15">
      <c r="A132" s="115" t="s">
        <v>209</v>
      </c>
      <c r="B132" s="115" t="s">
        <v>209</v>
      </c>
      <c r="C132" s="115"/>
      <c r="D132" s="115"/>
      <c r="E132" s="115"/>
      <c r="F132" s="115"/>
      <c r="G132" s="115"/>
      <c r="H132" s="121"/>
    </row>
    <row r="133" spans="1:9" ht="15" customHeight="1">
      <c r="A133" s="444" t="s">
        <v>25</v>
      </c>
      <c r="B133" s="444"/>
      <c r="C133" s="444"/>
      <c r="D133" s="444"/>
      <c r="E133" s="444"/>
      <c r="F133" s="444"/>
      <c r="G133" s="444"/>
      <c r="H133" s="444"/>
      <c r="I133" s="444"/>
    </row>
    <row r="134" spans="1:9" ht="30" customHeight="1">
      <c r="A134" s="14" t="s">
        <v>20</v>
      </c>
      <c r="B134" s="8" t="s">
        <v>0</v>
      </c>
      <c r="C134" s="14" t="s">
        <v>1</v>
      </c>
      <c r="D134" s="14" t="s">
        <v>14</v>
      </c>
      <c r="E134" s="441" t="s">
        <v>15</v>
      </c>
      <c r="F134" s="441"/>
      <c r="G134" s="441"/>
      <c r="H134" s="14" t="s">
        <v>214</v>
      </c>
      <c r="I134" s="14" t="s">
        <v>215</v>
      </c>
    </row>
    <row r="135" spans="1:9" ht="13.5" thickBot="1">
      <c r="A135" s="17">
        <v>1</v>
      </c>
      <c r="B135" s="17">
        <v>1</v>
      </c>
      <c r="C135" s="38">
        <v>2</v>
      </c>
      <c r="D135" s="38">
        <v>3</v>
      </c>
      <c r="E135" s="427">
        <v>4</v>
      </c>
      <c r="F135" s="427"/>
      <c r="G135" s="427"/>
      <c r="H135" s="38">
        <v>5</v>
      </c>
      <c r="I135" s="38">
        <v>6</v>
      </c>
    </row>
    <row r="136" spans="1:9" s="55" customFormat="1" ht="13.5" thickTop="1">
      <c r="A136" s="54"/>
      <c r="B136" s="167">
        <f>B17</f>
        <v>1115060</v>
      </c>
      <c r="C136" s="169" t="str">
        <f>C17</f>
        <v>Програма Інші заходи з розвитку фізичної культури та спорту</v>
      </c>
      <c r="D136" s="114"/>
      <c r="E136" s="451"/>
      <c r="F136" s="451"/>
      <c r="G136" s="451"/>
      <c r="H136" s="114"/>
      <c r="I136" s="114"/>
    </row>
    <row r="137" spans="1:9" s="153" customFormat="1" ht="12.75">
      <c r="A137" s="68"/>
      <c r="B137" s="69">
        <f>B18</f>
        <v>1115061</v>
      </c>
      <c r="C137" s="504" t="str">
        <f>C18</f>
        <v>Підпрограма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
      <c r="D137" s="505"/>
      <c r="E137" s="505"/>
      <c r="F137" s="505"/>
      <c r="G137" s="505"/>
      <c r="H137" s="505"/>
      <c r="I137" s="506"/>
    </row>
    <row r="138" spans="1:9" s="153" customFormat="1" ht="12.75">
      <c r="A138" s="68"/>
      <c r="B138" s="69"/>
      <c r="C138" s="455" t="s">
        <v>435</v>
      </c>
      <c r="D138" s="456"/>
      <c r="E138" s="456"/>
      <c r="F138" s="456"/>
      <c r="G138" s="456"/>
      <c r="H138" s="456"/>
      <c r="I138" s="457"/>
    </row>
    <row r="139" spans="1:9" s="60" customFormat="1" ht="12.75">
      <c r="A139" s="58"/>
      <c r="B139" s="39"/>
      <c r="C139" s="202" t="s">
        <v>327</v>
      </c>
      <c r="D139" s="227" t="s">
        <v>125</v>
      </c>
      <c r="E139" s="536" t="s">
        <v>125</v>
      </c>
      <c r="F139" s="537"/>
      <c r="G139" s="538"/>
      <c r="H139" s="59"/>
      <c r="I139" s="59"/>
    </row>
    <row r="140" spans="1:9" s="60" customFormat="1" ht="12.75">
      <c r="A140" s="58"/>
      <c r="B140" s="39"/>
      <c r="C140" s="191" t="s">
        <v>436</v>
      </c>
      <c r="D140" s="192" t="s">
        <v>124</v>
      </c>
      <c r="E140" s="507" t="s">
        <v>270</v>
      </c>
      <c r="F140" s="508"/>
      <c r="G140" s="509"/>
      <c r="H140" s="59">
        <v>1</v>
      </c>
      <c r="I140" s="59">
        <v>1</v>
      </c>
    </row>
    <row r="141" spans="1:9" s="60" customFormat="1" ht="12.75">
      <c r="A141" s="58"/>
      <c r="B141" s="39"/>
      <c r="C141" s="226" t="s">
        <v>437</v>
      </c>
      <c r="D141" s="192" t="s">
        <v>124</v>
      </c>
      <c r="E141" s="507" t="s">
        <v>320</v>
      </c>
      <c r="F141" s="508"/>
      <c r="G141" s="509"/>
      <c r="H141" s="59">
        <f>H143+H144</f>
        <v>19</v>
      </c>
      <c r="I141" s="59">
        <f>I143+I144</f>
        <v>41</v>
      </c>
    </row>
    <row r="142" spans="1:9" s="60" customFormat="1" ht="12.75">
      <c r="A142" s="58"/>
      <c r="B142" s="39"/>
      <c r="C142" s="226" t="s">
        <v>376</v>
      </c>
      <c r="D142" s="227" t="s">
        <v>125</v>
      </c>
      <c r="E142" s="536" t="s">
        <v>125</v>
      </c>
      <c r="F142" s="537"/>
      <c r="G142" s="538"/>
      <c r="H142" s="227" t="s">
        <v>125</v>
      </c>
      <c r="I142" s="227" t="s">
        <v>125</v>
      </c>
    </row>
    <row r="143" spans="1:9" s="60" customFormat="1" ht="12.75">
      <c r="A143" s="58"/>
      <c r="B143" s="39"/>
      <c r="C143" s="226" t="s">
        <v>438</v>
      </c>
      <c r="D143" s="192" t="s">
        <v>124</v>
      </c>
      <c r="E143" s="507" t="s">
        <v>320</v>
      </c>
      <c r="F143" s="508"/>
      <c r="G143" s="509"/>
      <c r="H143" s="59">
        <v>15</v>
      </c>
      <c r="I143" s="59">
        <f>H143+22</f>
        <v>37</v>
      </c>
    </row>
    <row r="144" spans="1:9" s="60" customFormat="1" ht="12.75">
      <c r="A144" s="58"/>
      <c r="B144" s="39"/>
      <c r="C144" s="226" t="s">
        <v>439</v>
      </c>
      <c r="D144" s="192" t="s">
        <v>124</v>
      </c>
      <c r="E144" s="507" t="s">
        <v>320</v>
      </c>
      <c r="F144" s="508"/>
      <c r="G144" s="509"/>
      <c r="H144" s="59">
        <v>4</v>
      </c>
      <c r="I144" s="59">
        <f>H144</f>
        <v>4</v>
      </c>
    </row>
    <row r="145" spans="1:9" s="60" customFormat="1" ht="12.75">
      <c r="A145" s="58"/>
      <c r="B145" s="39"/>
      <c r="C145" s="226" t="s">
        <v>440</v>
      </c>
      <c r="D145" s="192" t="s">
        <v>124</v>
      </c>
      <c r="E145" s="510" t="s">
        <v>130</v>
      </c>
      <c r="F145" s="511"/>
      <c r="G145" s="512"/>
      <c r="H145" s="59">
        <v>18.5</v>
      </c>
      <c r="I145" s="59">
        <v>18.5</v>
      </c>
    </row>
    <row r="146" spans="1:9" s="60" customFormat="1" ht="12.75">
      <c r="A146" s="58"/>
      <c r="B146" s="39"/>
      <c r="C146" s="202" t="s">
        <v>329</v>
      </c>
      <c r="D146" s="227" t="s">
        <v>125</v>
      </c>
      <c r="E146" s="536" t="s">
        <v>125</v>
      </c>
      <c r="F146" s="537"/>
      <c r="G146" s="538"/>
      <c r="H146" s="227" t="s">
        <v>125</v>
      </c>
      <c r="I146" s="227" t="s">
        <v>125</v>
      </c>
    </row>
    <row r="147" spans="1:9" s="60" customFormat="1" ht="26.25">
      <c r="A147" s="58"/>
      <c r="B147" s="39"/>
      <c r="C147" s="191" t="s">
        <v>441</v>
      </c>
      <c r="D147" s="192" t="s">
        <v>124</v>
      </c>
      <c r="E147" s="507" t="s">
        <v>146</v>
      </c>
      <c r="F147" s="508"/>
      <c r="G147" s="509"/>
      <c r="H147" s="59">
        <f>H149+H150</f>
        <v>2842.4</v>
      </c>
      <c r="I147" s="67">
        <f>I149+I150</f>
        <v>5199.84</v>
      </c>
    </row>
    <row r="148" spans="1:9" s="60" customFormat="1" ht="12.75">
      <c r="A148" s="58"/>
      <c r="B148" s="39"/>
      <c r="C148" s="226" t="s">
        <v>376</v>
      </c>
      <c r="D148" s="227" t="s">
        <v>125</v>
      </c>
      <c r="E148" s="536" t="s">
        <v>125</v>
      </c>
      <c r="F148" s="537"/>
      <c r="G148" s="538"/>
      <c r="H148" s="59"/>
      <c r="I148" s="59"/>
    </row>
    <row r="149" spans="1:9" s="60" customFormat="1" ht="12.75">
      <c r="A149" s="58"/>
      <c r="B149" s="39"/>
      <c r="C149" s="226" t="s">
        <v>438</v>
      </c>
      <c r="D149" s="192" t="s">
        <v>124</v>
      </c>
      <c r="E149" s="507" t="s">
        <v>146</v>
      </c>
      <c r="F149" s="508"/>
      <c r="G149" s="509"/>
      <c r="H149" s="252">
        <f>1632*1.7</f>
        <v>2774.4</v>
      </c>
      <c r="I149" s="252">
        <f>H149+1696*1.39</f>
        <v>5131.84</v>
      </c>
    </row>
    <row r="150" spans="1:9" s="60" customFormat="1" ht="12.75">
      <c r="A150" s="58"/>
      <c r="B150" s="39"/>
      <c r="C150" s="226" t="s">
        <v>439</v>
      </c>
      <c r="D150" s="192" t="s">
        <v>124</v>
      </c>
      <c r="E150" s="507" t="s">
        <v>146</v>
      </c>
      <c r="F150" s="508"/>
      <c r="G150" s="509"/>
      <c r="H150" s="59">
        <f>17*4</f>
        <v>68</v>
      </c>
      <c r="I150" s="59">
        <f>H150</f>
        <v>68</v>
      </c>
    </row>
    <row r="151" spans="1:9" s="60" customFormat="1" ht="12.75">
      <c r="A151" s="58"/>
      <c r="B151" s="39"/>
      <c r="C151" s="202" t="s">
        <v>331</v>
      </c>
      <c r="D151" s="227" t="s">
        <v>125</v>
      </c>
      <c r="E151" s="536" t="s">
        <v>125</v>
      </c>
      <c r="F151" s="537"/>
      <c r="G151" s="538"/>
      <c r="H151" s="227" t="s">
        <v>125</v>
      </c>
      <c r="I151" s="227" t="s">
        <v>125</v>
      </c>
    </row>
    <row r="152" spans="1:9" s="60" customFormat="1" ht="26.25">
      <c r="A152" s="58"/>
      <c r="B152" s="39"/>
      <c r="C152" s="244" t="s">
        <v>442</v>
      </c>
      <c r="D152" s="192" t="s">
        <v>145</v>
      </c>
      <c r="E152" s="489" t="s">
        <v>146</v>
      </c>
      <c r="F152" s="490"/>
      <c r="G152" s="491"/>
      <c r="H152" s="67">
        <f>J153/H141</f>
        <v>15650.263157894737</v>
      </c>
      <c r="I152" s="67">
        <f>K153/I141</f>
        <v>13106.219512195123</v>
      </c>
    </row>
    <row r="153" spans="1:11" s="60" customFormat="1" ht="12.75">
      <c r="A153" s="58"/>
      <c r="B153" s="39"/>
      <c r="C153" s="226" t="s">
        <v>376</v>
      </c>
      <c r="D153" s="227" t="s">
        <v>125</v>
      </c>
      <c r="E153" s="536" t="s">
        <v>125</v>
      </c>
      <c r="F153" s="537"/>
      <c r="G153" s="538"/>
      <c r="H153" s="227" t="s">
        <v>125</v>
      </c>
      <c r="I153" s="227" t="s">
        <v>125</v>
      </c>
      <c r="J153" s="60">
        <v>297355</v>
      </c>
      <c r="K153" s="60">
        <f>297355+240000</f>
        <v>537355</v>
      </c>
    </row>
    <row r="154" spans="1:11" s="60" customFormat="1" ht="12.75">
      <c r="A154" s="58"/>
      <c r="B154" s="39"/>
      <c r="C154" s="226" t="s">
        <v>438</v>
      </c>
      <c r="D154" s="192" t="s">
        <v>145</v>
      </c>
      <c r="E154" s="507" t="s">
        <v>146</v>
      </c>
      <c r="F154" s="508"/>
      <c r="G154" s="509"/>
      <c r="H154" s="67">
        <f>J154/H143</f>
        <v>17407.666666666668</v>
      </c>
      <c r="I154" s="67">
        <f>K154/I143</f>
        <v>13543.648648648648</v>
      </c>
      <c r="J154" s="60">
        <f>J153-J155</f>
        <v>261115</v>
      </c>
      <c r="K154" s="60">
        <f>K153-K155</f>
        <v>501115</v>
      </c>
    </row>
    <row r="155" spans="1:11" s="60" customFormat="1" ht="12.75">
      <c r="A155" s="58"/>
      <c r="B155" s="39"/>
      <c r="C155" s="226" t="s">
        <v>439</v>
      </c>
      <c r="D155" s="192" t="s">
        <v>145</v>
      </c>
      <c r="E155" s="507" t="s">
        <v>146</v>
      </c>
      <c r="F155" s="508"/>
      <c r="G155" s="509"/>
      <c r="H155" s="67">
        <f>J155/H144</f>
        <v>9060</v>
      </c>
      <c r="I155" s="67">
        <f>K155/I144</f>
        <v>9060</v>
      </c>
      <c r="J155" s="60">
        <v>36240</v>
      </c>
      <c r="K155" s="60">
        <v>36240</v>
      </c>
    </row>
    <row r="156" spans="1:9" s="60" customFormat="1" ht="26.25">
      <c r="A156" s="58"/>
      <c r="B156" s="39"/>
      <c r="C156" s="245" t="s">
        <v>443</v>
      </c>
      <c r="D156" s="246" t="s">
        <v>145</v>
      </c>
      <c r="E156" s="545" t="s">
        <v>146</v>
      </c>
      <c r="F156" s="546"/>
      <c r="G156" s="547"/>
      <c r="H156" s="67">
        <f>J153/H147</f>
        <v>104.61405854207712</v>
      </c>
      <c r="I156" s="67">
        <f>K153/I147</f>
        <v>103.34067971322195</v>
      </c>
    </row>
    <row r="157" spans="1:9" s="60" customFormat="1" ht="12.75">
      <c r="A157" s="58"/>
      <c r="B157" s="39"/>
      <c r="C157" s="226" t="s">
        <v>376</v>
      </c>
      <c r="D157" s="227" t="s">
        <v>125</v>
      </c>
      <c r="E157" s="536" t="s">
        <v>125</v>
      </c>
      <c r="F157" s="537"/>
      <c r="G157" s="538"/>
      <c r="H157" s="227" t="s">
        <v>125</v>
      </c>
      <c r="I157" s="227" t="s">
        <v>125</v>
      </c>
    </row>
    <row r="158" spans="1:9" s="60" customFormat="1" ht="12.75">
      <c r="A158" s="58"/>
      <c r="B158" s="39"/>
      <c r="C158" s="226" t="s">
        <v>438</v>
      </c>
      <c r="D158" s="192" t="s">
        <v>145</v>
      </c>
      <c r="E158" s="507" t="s">
        <v>146</v>
      </c>
      <c r="F158" s="508"/>
      <c r="G158" s="509"/>
      <c r="H158" s="67">
        <f>J154/H149</f>
        <v>94.1158448673587</v>
      </c>
      <c r="I158" s="67">
        <f>K154/I149</f>
        <v>97.6482119473717</v>
      </c>
    </row>
    <row r="159" spans="1:9" s="60" customFormat="1" ht="12.75">
      <c r="A159" s="58"/>
      <c r="B159" s="39"/>
      <c r="C159" s="226" t="s">
        <v>439</v>
      </c>
      <c r="D159" s="192" t="s">
        <v>145</v>
      </c>
      <c r="E159" s="507" t="s">
        <v>146</v>
      </c>
      <c r="F159" s="508"/>
      <c r="G159" s="509"/>
      <c r="H159" s="67">
        <f>J155/H150</f>
        <v>532.9411764705883</v>
      </c>
      <c r="I159" s="67">
        <f>K155/I150</f>
        <v>532.9411764705883</v>
      </c>
    </row>
    <row r="160" spans="1:10" s="60" customFormat="1" ht="12.75">
      <c r="A160" s="58"/>
      <c r="B160" s="39"/>
      <c r="C160" s="244" t="s">
        <v>444</v>
      </c>
      <c r="D160" s="192" t="s">
        <v>145</v>
      </c>
      <c r="E160" s="489" t="s">
        <v>146</v>
      </c>
      <c r="F160" s="490"/>
      <c r="G160" s="491"/>
      <c r="H160" s="336">
        <f>(F22)*1000/12/H145</f>
        <v>5546.846846846847</v>
      </c>
      <c r="I160" s="67">
        <f>(F22+G22)*1000/12/I145</f>
        <v>5630.630630630631</v>
      </c>
      <c r="J160" s="60">
        <f>I160/H160</f>
        <v>1.0151047588111093</v>
      </c>
    </row>
    <row r="161" spans="1:9" s="60" customFormat="1" ht="12.75">
      <c r="A161" s="58"/>
      <c r="B161" s="39"/>
      <c r="C161" s="202" t="s">
        <v>333</v>
      </c>
      <c r="D161" s="227" t="s">
        <v>125</v>
      </c>
      <c r="E161" s="536" t="s">
        <v>125</v>
      </c>
      <c r="F161" s="537"/>
      <c r="G161" s="538"/>
      <c r="H161" s="67"/>
      <c r="I161" s="67"/>
    </row>
    <row r="162" spans="1:9" s="60" customFormat="1" ht="26.25">
      <c r="A162" s="58"/>
      <c r="B162" s="39"/>
      <c r="C162" s="191" t="s">
        <v>445</v>
      </c>
      <c r="D162" s="247" t="s">
        <v>123</v>
      </c>
      <c r="E162" s="507" t="s">
        <v>146</v>
      </c>
      <c r="F162" s="508"/>
      <c r="G162" s="509"/>
      <c r="H162" s="59">
        <v>3</v>
      </c>
      <c r="I162" s="59">
        <v>15</v>
      </c>
    </row>
    <row r="163" spans="1:9" s="60" customFormat="1" ht="12.75">
      <c r="A163" s="58"/>
      <c r="B163" s="69">
        <f>B75</f>
        <v>1115062</v>
      </c>
      <c r="C163" s="455" t="str">
        <f>C75</f>
        <v>Підпрограма Підтримка спорту вищих досягнень та організацій, які здійснюють фізкультурно-спортивну діяльність в регіоні</v>
      </c>
      <c r="D163" s="456"/>
      <c r="E163" s="456"/>
      <c r="F163" s="456"/>
      <c r="G163" s="456"/>
      <c r="H163" s="456"/>
      <c r="I163" s="457"/>
    </row>
    <row r="164" spans="1:9" s="60" customFormat="1" ht="12.75">
      <c r="A164" s="58"/>
      <c r="B164" s="39"/>
      <c r="C164" s="455" t="s">
        <v>446</v>
      </c>
      <c r="D164" s="456"/>
      <c r="E164" s="456"/>
      <c r="F164" s="456"/>
      <c r="G164" s="456"/>
      <c r="H164" s="456"/>
      <c r="I164" s="457"/>
    </row>
    <row r="165" spans="1:9" s="60" customFormat="1" ht="12.75">
      <c r="A165" s="58"/>
      <c r="B165" s="39"/>
      <c r="C165" s="202" t="s">
        <v>327</v>
      </c>
      <c r="D165" s="227" t="s">
        <v>125</v>
      </c>
      <c r="E165" s="536" t="s">
        <v>125</v>
      </c>
      <c r="F165" s="537"/>
      <c r="G165" s="538"/>
      <c r="H165" s="59"/>
      <c r="I165" s="59"/>
    </row>
    <row r="166" spans="1:9" s="60" customFormat="1" ht="12.75" customHeight="1">
      <c r="A166" s="58"/>
      <c r="B166" s="39"/>
      <c r="C166" s="244" t="s">
        <v>447</v>
      </c>
      <c r="D166" s="246" t="s">
        <v>150</v>
      </c>
      <c r="E166" s="548" t="s">
        <v>448</v>
      </c>
      <c r="F166" s="549"/>
      <c r="G166" s="550"/>
      <c r="H166" s="249">
        <f>F109-H167</f>
        <v>7304</v>
      </c>
      <c r="I166" s="251">
        <f>H166</f>
        <v>7304</v>
      </c>
    </row>
    <row r="167" spans="1:9" s="60" customFormat="1" ht="59.25" customHeight="1">
      <c r="A167" s="58"/>
      <c r="B167" s="39"/>
      <c r="C167" s="244" t="s">
        <v>449</v>
      </c>
      <c r="D167" s="246" t="s">
        <v>150</v>
      </c>
      <c r="E167" s="551"/>
      <c r="F167" s="552"/>
      <c r="G167" s="553"/>
      <c r="H167" s="249">
        <v>2000</v>
      </c>
      <c r="I167" s="251">
        <f>H167</f>
        <v>2000</v>
      </c>
    </row>
    <row r="168" spans="1:9" s="60" customFormat="1" ht="12.75">
      <c r="A168" s="58"/>
      <c r="B168" s="39"/>
      <c r="C168" s="202" t="s">
        <v>329</v>
      </c>
      <c r="D168" s="227" t="s">
        <v>125</v>
      </c>
      <c r="E168" s="536" t="s">
        <v>125</v>
      </c>
      <c r="F168" s="537"/>
      <c r="G168" s="538"/>
      <c r="H168" s="249" t="s">
        <v>125</v>
      </c>
      <c r="I168" s="251"/>
    </row>
    <row r="169" spans="1:9" s="60" customFormat="1" ht="75" customHeight="1">
      <c r="A169" s="58"/>
      <c r="B169" s="39"/>
      <c r="C169" s="244" t="s">
        <v>450</v>
      </c>
      <c r="D169" s="246" t="s">
        <v>124</v>
      </c>
      <c r="E169" s="545" t="s">
        <v>451</v>
      </c>
      <c r="F169" s="546"/>
      <c r="G169" s="547"/>
      <c r="H169" s="249">
        <v>70</v>
      </c>
      <c r="I169" s="251">
        <f>H169</f>
        <v>70</v>
      </c>
    </row>
    <row r="170" spans="1:9" s="60" customFormat="1" ht="72" customHeight="1">
      <c r="A170" s="58"/>
      <c r="B170" s="39"/>
      <c r="C170" s="244" t="s">
        <v>452</v>
      </c>
      <c r="D170" s="246" t="s">
        <v>124</v>
      </c>
      <c r="E170" s="545" t="s">
        <v>453</v>
      </c>
      <c r="F170" s="546"/>
      <c r="G170" s="547"/>
      <c r="H170" s="249">
        <v>100</v>
      </c>
      <c r="I170" s="251">
        <f>H170</f>
        <v>100</v>
      </c>
    </row>
    <row r="171" spans="1:9" s="60" customFormat="1" ht="12.75">
      <c r="A171" s="58"/>
      <c r="B171" s="39"/>
      <c r="C171" s="202" t="s">
        <v>331</v>
      </c>
      <c r="D171" s="227" t="s">
        <v>125</v>
      </c>
      <c r="E171" s="536" t="s">
        <v>125</v>
      </c>
      <c r="F171" s="537"/>
      <c r="G171" s="538"/>
      <c r="H171" s="249" t="s">
        <v>125</v>
      </c>
      <c r="I171" s="251"/>
    </row>
    <row r="172" spans="1:9" s="60" customFormat="1" ht="12.75">
      <c r="A172" s="58"/>
      <c r="B172" s="39"/>
      <c r="C172" s="248" t="s">
        <v>454</v>
      </c>
      <c r="D172" s="192" t="s">
        <v>145</v>
      </c>
      <c r="E172" s="489" t="s">
        <v>146</v>
      </c>
      <c r="F172" s="490"/>
      <c r="G172" s="491"/>
      <c r="H172" s="250">
        <f>H166/H169*1000/12</f>
        <v>8695.238095238095</v>
      </c>
      <c r="I172" s="251">
        <f>H172</f>
        <v>8695.238095238095</v>
      </c>
    </row>
    <row r="173" spans="1:9" s="60" customFormat="1" ht="12.75">
      <c r="A173" s="58"/>
      <c r="B173" s="39"/>
      <c r="C173" s="248" t="s">
        <v>455</v>
      </c>
      <c r="D173" s="192" t="s">
        <v>145</v>
      </c>
      <c r="E173" s="489" t="s">
        <v>146</v>
      </c>
      <c r="F173" s="490"/>
      <c r="G173" s="491"/>
      <c r="H173" s="250">
        <f>H167/H170*1000</f>
        <v>20000</v>
      </c>
      <c r="I173" s="251">
        <f>H173</f>
        <v>20000</v>
      </c>
    </row>
    <row r="174" spans="1:9" s="60" customFormat="1" ht="12.75">
      <c r="A174" s="58"/>
      <c r="B174" s="39"/>
      <c r="C174" s="202" t="s">
        <v>333</v>
      </c>
      <c r="D174" s="227" t="s">
        <v>125</v>
      </c>
      <c r="E174" s="536" t="s">
        <v>125</v>
      </c>
      <c r="F174" s="537"/>
      <c r="G174" s="538"/>
      <c r="H174" s="249" t="s">
        <v>125</v>
      </c>
      <c r="I174" s="251"/>
    </row>
    <row r="175" spans="1:9" s="60" customFormat="1" ht="26.25">
      <c r="A175" s="58"/>
      <c r="B175" s="39"/>
      <c r="C175" s="248" t="s">
        <v>456</v>
      </c>
      <c r="D175" s="247" t="s">
        <v>123</v>
      </c>
      <c r="E175" s="507" t="s">
        <v>146</v>
      </c>
      <c r="F175" s="508"/>
      <c r="G175" s="509"/>
      <c r="H175" s="250">
        <v>0</v>
      </c>
      <c r="I175" s="251">
        <f>H175</f>
        <v>0</v>
      </c>
    </row>
    <row r="176" spans="1:9" s="60" customFormat="1" ht="26.25">
      <c r="A176" s="58"/>
      <c r="B176" s="39"/>
      <c r="C176" s="248" t="s">
        <v>457</v>
      </c>
      <c r="D176" s="247" t="s">
        <v>123</v>
      </c>
      <c r="E176" s="507" t="s">
        <v>146</v>
      </c>
      <c r="F176" s="508"/>
      <c r="G176" s="509"/>
      <c r="H176" s="250">
        <v>0</v>
      </c>
      <c r="I176" s="251">
        <f>H176</f>
        <v>0</v>
      </c>
    </row>
    <row r="177" spans="1:9" s="60" customFormat="1" ht="12.75">
      <c r="A177" s="58"/>
      <c r="B177" s="39"/>
      <c r="C177" s="455" t="s">
        <v>458</v>
      </c>
      <c r="D177" s="456"/>
      <c r="E177" s="456"/>
      <c r="F177" s="456"/>
      <c r="G177" s="456"/>
      <c r="H177" s="456"/>
      <c r="I177" s="457"/>
    </row>
    <row r="178" spans="1:9" s="255" customFormat="1" ht="12.75">
      <c r="A178" s="253"/>
      <c r="B178" s="39"/>
      <c r="C178" s="61" t="s">
        <v>327</v>
      </c>
      <c r="D178" s="227" t="s">
        <v>125</v>
      </c>
      <c r="E178" s="542" t="s">
        <v>125</v>
      </c>
      <c r="F178" s="543"/>
      <c r="G178" s="544"/>
      <c r="H178" s="254"/>
      <c r="I178" s="254"/>
    </row>
    <row r="179" spans="1:9" s="60" customFormat="1" ht="26.25">
      <c r="A179" s="58"/>
      <c r="B179" s="39"/>
      <c r="C179" s="200" t="s">
        <v>459</v>
      </c>
      <c r="D179" s="62" t="s">
        <v>124</v>
      </c>
      <c r="E179" s="539" t="s">
        <v>270</v>
      </c>
      <c r="F179" s="540"/>
      <c r="G179" s="541"/>
      <c r="H179" s="59">
        <f>H181</f>
        <v>1</v>
      </c>
      <c r="I179" s="59">
        <f>I181</f>
        <v>1</v>
      </c>
    </row>
    <row r="180" spans="1:9" s="60" customFormat="1" ht="12.75">
      <c r="A180" s="58"/>
      <c r="B180" s="39"/>
      <c r="C180" s="200" t="s">
        <v>376</v>
      </c>
      <c r="D180" s="62" t="s">
        <v>125</v>
      </c>
      <c r="E180" s="539" t="s">
        <v>125</v>
      </c>
      <c r="F180" s="540"/>
      <c r="G180" s="541"/>
      <c r="H180" s="59"/>
      <c r="I180" s="59"/>
    </row>
    <row r="181" spans="1:9" s="60" customFormat="1" ht="12.75">
      <c r="A181" s="58"/>
      <c r="B181" s="39"/>
      <c r="C181" s="200" t="s">
        <v>460</v>
      </c>
      <c r="D181" s="62" t="s">
        <v>124</v>
      </c>
      <c r="E181" s="539" t="s">
        <v>270</v>
      </c>
      <c r="F181" s="540"/>
      <c r="G181" s="541"/>
      <c r="H181" s="59">
        <v>1</v>
      </c>
      <c r="I181" s="59">
        <v>1</v>
      </c>
    </row>
    <row r="182" spans="1:9" s="60" customFormat="1" ht="28.5" customHeight="1">
      <c r="A182" s="58"/>
      <c r="B182" s="39"/>
      <c r="C182" s="200" t="s">
        <v>461</v>
      </c>
      <c r="D182" s="62" t="s">
        <v>124</v>
      </c>
      <c r="E182" s="539" t="s">
        <v>130</v>
      </c>
      <c r="F182" s="540"/>
      <c r="G182" s="541"/>
      <c r="H182" s="59">
        <f>H184</f>
        <v>20.5</v>
      </c>
      <c r="I182" s="59">
        <f>I184</f>
        <v>20.5</v>
      </c>
    </row>
    <row r="183" spans="1:9" s="60" customFormat="1" ht="12.75">
      <c r="A183" s="58"/>
      <c r="B183" s="39"/>
      <c r="C183" s="200" t="s">
        <v>376</v>
      </c>
      <c r="D183" s="62" t="s">
        <v>125</v>
      </c>
      <c r="E183" s="539" t="s">
        <v>125</v>
      </c>
      <c r="F183" s="540"/>
      <c r="G183" s="541"/>
      <c r="H183" s="59"/>
      <c r="I183" s="59"/>
    </row>
    <row r="184" spans="1:9" s="60" customFormat="1" ht="12.75">
      <c r="A184" s="58"/>
      <c r="B184" s="39"/>
      <c r="C184" s="200" t="s">
        <v>460</v>
      </c>
      <c r="D184" s="62" t="s">
        <v>124</v>
      </c>
      <c r="E184" s="539" t="s">
        <v>130</v>
      </c>
      <c r="F184" s="540"/>
      <c r="G184" s="541"/>
      <c r="H184" s="59">
        <v>20.5</v>
      </c>
      <c r="I184" s="59">
        <v>20.5</v>
      </c>
    </row>
    <row r="185" spans="1:10" s="60" customFormat="1" ht="39">
      <c r="A185" s="58"/>
      <c r="B185" s="39"/>
      <c r="C185" s="200" t="s">
        <v>462</v>
      </c>
      <c r="D185" s="62" t="s">
        <v>124</v>
      </c>
      <c r="E185" s="539" t="s">
        <v>320</v>
      </c>
      <c r="F185" s="540"/>
      <c r="G185" s="541"/>
      <c r="H185" s="59">
        <f>H187+H188+H189</f>
        <v>24</v>
      </c>
      <c r="I185" s="59">
        <f>I187+I188+I189</f>
        <v>27</v>
      </c>
      <c r="J185" s="60">
        <f>H185/J218</f>
        <v>1.5</v>
      </c>
    </row>
    <row r="186" spans="1:9" s="60" customFormat="1" ht="12.75">
      <c r="A186" s="58"/>
      <c r="B186" s="39"/>
      <c r="C186" s="200" t="s">
        <v>376</v>
      </c>
      <c r="D186" s="62" t="s">
        <v>125</v>
      </c>
      <c r="E186" s="539" t="s">
        <v>125</v>
      </c>
      <c r="F186" s="540"/>
      <c r="G186" s="541"/>
      <c r="H186" s="59"/>
      <c r="I186" s="59"/>
    </row>
    <row r="187" spans="1:10" s="60" customFormat="1" ht="12.75">
      <c r="A187" s="58"/>
      <c r="B187" s="39"/>
      <c r="C187" s="200" t="s">
        <v>463</v>
      </c>
      <c r="D187" s="62" t="s">
        <v>124</v>
      </c>
      <c r="E187" s="539" t="s">
        <v>320</v>
      </c>
      <c r="F187" s="540"/>
      <c r="G187" s="541"/>
      <c r="H187" s="59">
        <v>11</v>
      </c>
      <c r="I187" s="59">
        <f>H187+2</f>
        <v>13</v>
      </c>
      <c r="J187" s="60">
        <f>H187/J220</f>
        <v>1.5714285714285714</v>
      </c>
    </row>
    <row r="188" spans="1:10" s="60" customFormat="1" ht="26.25">
      <c r="A188" s="58"/>
      <c r="B188" s="39"/>
      <c r="C188" s="200" t="s">
        <v>464</v>
      </c>
      <c r="D188" s="62" t="s">
        <v>124</v>
      </c>
      <c r="E188" s="539" t="s">
        <v>320</v>
      </c>
      <c r="F188" s="540"/>
      <c r="G188" s="541"/>
      <c r="H188" s="59">
        <v>1</v>
      </c>
      <c r="I188" s="59">
        <f>H188+1</f>
        <v>2</v>
      </c>
      <c r="J188" s="60">
        <f>H188/J221</f>
        <v>1</v>
      </c>
    </row>
    <row r="189" spans="1:10" s="60" customFormat="1" ht="26.25">
      <c r="A189" s="58"/>
      <c r="B189" s="39"/>
      <c r="C189" s="200" t="s">
        <v>465</v>
      </c>
      <c r="D189" s="62" t="s">
        <v>124</v>
      </c>
      <c r="E189" s="539" t="s">
        <v>320</v>
      </c>
      <c r="F189" s="540"/>
      <c r="G189" s="541"/>
      <c r="H189" s="59">
        <v>12</v>
      </c>
      <c r="I189" s="59">
        <f>H189</f>
        <v>12</v>
      </c>
      <c r="J189" s="60">
        <f>H189/J222</f>
        <v>1.5</v>
      </c>
    </row>
    <row r="190" spans="1:9" s="255" customFormat="1" ht="12.75">
      <c r="A190" s="253"/>
      <c r="B190" s="39"/>
      <c r="C190" s="61" t="s">
        <v>329</v>
      </c>
      <c r="D190" s="227" t="s">
        <v>125</v>
      </c>
      <c r="E190" s="542" t="s">
        <v>125</v>
      </c>
      <c r="F190" s="543"/>
      <c r="G190" s="544"/>
      <c r="H190" s="254"/>
      <c r="I190" s="254"/>
    </row>
    <row r="191" spans="1:9" s="60" customFormat="1" ht="39">
      <c r="A191" s="58"/>
      <c r="B191" s="39"/>
      <c r="C191" s="200" t="s">
        <v>466</v>
      </c>
      <c r="D191" s="62" t="s">
        <v>124</v>
      </c>
      <c r="E191" s="539" t="s">
        <v>146</v>
      </c>
      <c r="F191" s="540"/>
      <c r="G191" s="541"/>
      <c r="H191" s="59">
        <f>H193+H194+H195</f>
        <v>4200</v>
      </c>
      <c r="I191" s="59">
        <f>I193+I194+I195</f>
        <v>4490</v>
      </c>
    </row>
    <row r="192" spans="1:9" s="60" customFormat="1" ht="12.75">
      <c r="A192" s="58"/>
      <c r="B192" s="39"/>
      <c r="C192" s="200" t="s">
        <v>376</v>
      </c>
      <c r="D192" s="62" t="s">
        <v>125</v>
      </c>
      <c r="E192" s="539" t="s">
        <v>125</v>
      </c>
      <c r="F192" s="540"/>
      <c r="G192" s="541"/>
      <c r="H192" s="59"/>
      <c r="I192" s="59"/>
    </row>
    <row r="193" spans="1:9" s="60" customFormat="1" ht="12.75">
      <c r="A193" s="58"/>
      <c r="B193" s="39"/>
      <c r="C193" s="200" t="s">
        <v>463</v>
      </c>
      <c r="D193" s="62" t="s">
        <v>124</v>
      </c>
      <c r="E193" s="539" t="s">
        <v>320</v>
      </c>
      <c r="F193" s="540"/>
      <c r="G193" s="541"/>
      <c r="H193" s="59">
        <f>936*2</f>
        <v>1872</v>
      </c>
      <c r="I193" s="59">
        <f>H193+200</f>
        <v>2072</v>
      </c>
    </row>
    <row r="194" spans="1:9" s="60" customFormat="1" ht="26.25">
      <c r="A194" s="58"/>
      <c r="B194" s="39"/>
      <c r="C194" s="200" t="s">
        <v>464</v>
      </c>
      <c r="D194" s="62" t="s">
        <v>124</v>
      </c>
      <c r="E194" s="539" t="s">
        <v>320</v>
      </c>
      <c r="F194" s="540"/>
      <c r="G194" s="541"/>
      <c r="H194" s="59">
        <f>12*7</f>
        <v>84</v>
      </c>
      <c r="I194" s="59">
        <f>H194+90</f>
        <v>174</v>
      </c>
    </row>
    <row r="195" spans="1:9" s="60" customFormat="1" ht="26.25">
      <c r="A195" s="58"/>
      <c r="B195" s="39"/>
      <c r="C195" s="200" t="s">
        <v>465</v>
      </c>
      <c r="D195" s="62" t="s">
        <v>124</v>
      </c>
      <c r="E195" s="539" t="s">
        <v>320</v>
      </c>
      <c r="F195" s="540"/>
      <c r="G195" s="541"/>
      <c r="H195" s="59">
        <f>187*12</f>
        <v>2244</v>
      </c>
      <c r="I195" s="59">
        <f>H195</f>
        <v>2244</v>
      </c>
    </row>
    <row r="196" spans="1:9" s="255" customFormat="1" ht="12.75">
      <c r="A196" s="253"/>
      <c r="B196" s="39"/>
      <c r="C196" s="61" t="s">
        <v>331</v>
      </c>
      <c r="D196" s="227" t="s">
        <v>125</v>
      </c>
      <c r="E196" s="542" t="s">
        <v>125</v>
      </c>
      <c r="F196" s="543"/>
      <c r="G196" s="544"/>
      <c r="H196" s="254"/>
      <c r="I196" s="254"/>
    </row>
    <row r="197" spans="1:9" s="60" customFormat="1" ht="39">
      <c r="A197" s="58"/>
      <c r="B197" s="39"/>
      <c r="C197" s="200" t="s">
        <v>467</v>
      </c>
      <c r="D197" s="62" t="s">
        <v>145</v>
      </c>
      <c r="E197" s="539" t="s">
        <v>146</v>
      </c>
      <c r="F197" s="540"/>
      <c r="G197" s="541"/>
      <c r="H197" s="59">
        <f>H199</f>
        <v>1636960</v>
      </c>
      <c r="I197" s="59">
        <f>I199</f>
        <v>1646760</v>
      </c>
    </row>
    <row r="198" spans="1:9" s="60" customFormat="1" ht="12.75">
      <c r="A198" s="58"/>
      <c r="B198" s="39"/>
      <c r="C198" s="200" t="s">
        <v>376</v>
      </c>
      <c r="D198" s="62" t="s">
        <v>125</v>
      </c>
      <c r="E198" s="539" t="s">
        <v>125</v>
      </c>
      <c r="F198" s="540"/>
      <c r="G198" s="541"/>
      <c r="H198" s="59"/>
      <c r="I198" s="59"/>
    </row>
    <row r="199" spans="1:9" s="60" customFormat="1" ht="12.75">
      <c r="A199" s="58"/>
      <c r="B199" s="39"/>
      <c r="C199" s="200" t="s">
        <v>460</v>
      </c>
      <c r="D199" s="62" t="s">
        <v>145</v>
      </c>
      <c r="E199" s="539" t="s">
        <v>146</v>
      </c>
      <c r="F199" s="540"/>
      <c r="G199" s="541"/>
      <c r="H199" s="59">
        <f>1956000-J205</f>
        <v>1636960</v>
      </c>
      <c r="I199" s="59">
        <f>1986000-K205+9800</f>
        <v>1646760</v>
      </c>
    </row>
    <row r="200" spans="1:9" s="60" customFormat="1" ht="39">
      <c r="A200" s="58"/>
      <c r="B200" s="39"/>
      <c r="C200" s="200" t="s">
        <v>468</v>
      </c>
      <c r="D200" s="62" t="s">
        <v>145</v>
      </c>
      <c r="E200" s="539" t="s">
        <v>146</v>
      </c>
      <c r="F200" s="540"/>
      <c r="G200" s="541"/>
      <c r="H200" s="67">
        <f>H202</f>
        <v>5184.552845528457</v>
      </c>
      <c r="I200" s="67">
        <f>I202</f>
        <v>5217.073170731707</v>
      </c>
    </row>
    <row r="201" spans="1:9" s="60" customFormat="1" ht="12.75">
      <c r="A201" s="58"/>
      <c r="B201" s="39"/>
      <c r="C201" s="200" t="s">
        <v>376</v>
      </c>
      <c r="D201" s="62" t="s">
        <v>125</v>
      </c>
      <c r="E201" s="539" t="s">
        <v>125</v>
      </c>
      <c r="F201" s="540"/>
      <c r="G201" s="541"/>
      <c r="H201" s="59"/>
      <c r="I201" s="59"/>
    </row>
    <row r="202" spans="1:9" s="60" customFormat="1" ht="12.75">
      <c r="A202" s="58"/>
      <c r="B202" s="39"/>
      <c r="C202" s="200" t="s">
        <v>460</v>
      </c>
      <c r="D202" s="62" t="s">
        <v>145</v>
      </c>
      <c r="E202" s="539" t="s">
        <v>146</v>
      </c>
      <c r="F202" s="540"/>
      <c r="G202" s="541"/>
      <c r="H202" s="336">
        <f>(F79)/12/H184*1000</f>
        <v>5184.552845528457</v>
      </c>
      <c r="I202" s="67">
        <f>(F79+G79)/12/I184*1000</f>
        <v>5217.073170731707</v>
      </c>
    </row>
    <row r="203" spans="1:9" s="60" customFormat="1" ht="39">
      <c r="A203" s="58"/>
      <c r="B203" s="39"/>
      <c r="C203" s="200" t="s">
        <v>469</v>
      </c>
      <c r="D203" s="62" t="s">
        <v>145</v>
      </c>
      <c r="E203" s="539" t="s">
        <v>146</v>
      </c>
      <c r="F203" s="540"/>
      <c r="G203" s="541"/>
      <c r="H203" s="67">
        <f>H205</f>
        <v>13293.333333333334</v>
      </c>
      <c r="I203" s="67">
        <f>I205</f>
        <v>12927.407407407407</v>
      </c>
    </row>
    <row r="204" spans="1:9" s="60" customFormat="1" ht="12.75">
      <c r="A204" s="58"/>
      <c r="B204" s="39"/>
      <c r="C204" s="200" t="s">
        <v>376</v>
      </c>
      <c r="D204" s="62" t="s">
        <v>125</v>
      </c>
      <c r="E204" s="427" t="s">
        <v>125</v>
      </c>
      <c r="F204" s="427"/>
      <c r="G204" s="427"/>
      <c r="H204" s="67"/>
      <c r="I204" s="67"/>
    </row>
    <row r="205" spans="1:11" s="60" customFormat="1" ht="12.75">
      <c r="A205" s="58"/>
      <c r="B205" s="39"/>
      <c r="C205" s="200" t="s">
        <v>460</v>
      </c>
      <c r="D205" s="62" t="s">
        <v>145</v>
      </c>
      <c r="E205" s="539" t="s">
        <v>146</v>
      </c>
      <c r="F205" s="540"/>
      <c r="G205" s="541"/>
      <c r="H205" s="67">
        <f>J205/H185</f>
        <v>13293.333333333334</v>
      </c>
      <c r="I205" s="67">
        <f>K205/I185</f>
        <v>12927.407407407407</v>
      </c>
      <c r="J205" s="60">
        <v>319040</v>
      </c>
      <c r="K205" s="60">
        <f>J205+30000</f>
        <v>349040</v>
      </c>
    </row>
    <row r="206" spans="1:9" s="60" customFormat="1" ht="12.75">
      <c r="A206" s="58"/>
      <c r="B206" s="39"/>
      <c r="C206" s="200" t="s">
        <v>376</v>
      </c>
      <c r="D206" s="62" t="s">
        <v>125</v>
      </c>
      <c r="E206" s="427" t="s">
        <v>125</v>
      </c>
      <c r="F206" s="427"/>
      <c r="G206" s="427"/>
      <c r="H206" s="67"/>
      <c r="I206" s="67"/>
    </row>
    <row r="207" spans="1:11" s="60" customFormat="1" ht="12.75">
      <c r="A207" s="58"/>
      <c r="B207" s="39"/>
      <c r="C207" s="200" t="s">
        <v>463</v>
      </c>
      <c r="D207" s="62" t="s">
        <v>145</v>
      </c>
      <c r="E207" s="427" t="s">
        <v>146</v>
      </c>
      <c r="F207" s="427"/>
      <c r="G207" s="427"/>
      <c r="H207" s="67">
        <f aca="true" t="shared" si="0" ref="H207:I209">J207/H187</f>
        <v>9931.818181818182</v>
      </c>
      <c r="I207" s="67">
        <f t="shared" si="0"/>
        <v>10019.23076923077</v>
      </c>
      <c r="J207" s="60">
        <v>109250</v>
      </c>
      <c r="K207" s="60">
        <f>J207+21000</f>
        <v>130250</v>
      </c>
    </row>
    <row r="208" spans="1:11" s="60" customFormat="1" ht="26.25">
      <c r="A208" s="58"/>
      <c r="B208" s="39"/>
      <c r="C208" s="200" t="s">
        <v>464</v>
      </c>
      <c r="D208" s="62" t="s">
        <v>145</v>
      </c>
      <c r="E208" s="427" t="s">
        <v>146</v>
      </c>
      <c r="F208" s="427"/>
      <c r="G208" s="427"/>
      <c r="H208" s="67">
        <f t="shared" si="0"/>
        <v>7980</v>
      </c>
      <c r="I208" s="67">
        <f t="shared" si="0"/>
        <v>8490</v>
      </c>
      <c r="J208" s="60">
        <v>7980</v>
      </c>
      <c r="K208" s="60">
        <f>J208+9000</f>
        <v>16980</v>
      </c>
    </row>
    <row r="209" spans="1:11" s="60" customFormat="1" ht="26.25">
      <c r="A209" s="58"/>
      <c r="B209" s="39"/>
      <c r="C209" s="200" t="s">
        <v>465</v>
      </c>
      <c r="D209" s="62" t="s">
        <v>145</v>
      </c>
      <c r="E209" s="427" t="s">
        <v>146</v>
      </c>
      <c r="F209" s="427"/>
      <c r="G209" s="427"/>
      <c r="H209" s="67">
        <f t="shared" si="0"/>
        <v>16817.5</v>
      </c>
      <c r="I209" s="67">
        <f t="shared" si="0"/>
        <v>16817.5</v>
      </c>
      <c r="J209" s="60">
        <f>J205-J207-J208</f>
        <v>201810</v>
      </c>
      <c r="K209" s="60">
        <f>J209</f>
        <v>201810</v>
      </c>
    </row>
    <row r="210" spans="1:9" s="60" customFormat="1" ht="39">
      <c r="A210" s="58"/>
      <c r="B210" s="39"/>
      <c r="C210" s="200" t="s">
        <v>470</v>
      </c>
      <c r="D210" s="62" t="s">
        <v>145</v>
      </c>
      <c r="E210" s="427" t="s">
        <v>146</v>
      </c>
      <c r="F210" s="427"/>
      <c r="G210" s="427"/>
      <c r="H210" s="67">
        <f>H212</f>
        <v>75.96190476190476</v>
      </c>
      <c r="I210" s="67">
        <f>I212</f>
        <v>77.73719376391982</v>
      </c>
    </row>
    <row r="211" spans="1:9" s="60" customFormat="1" ht="12.75">
      <c r="A211" s="58"/>
      <c r="B211" s="39"/>
      <c r="C211" s="200" t="s">
        <v>376</v>
      </c>
      <c r="D211" s="62" t="s">
        <v>125</v>
      </c>
      <c r="E211" s="427" t="s">
        <v>125</v>
      </c>
      <c r="F211" s="427"/>
      <c r="G211" s="427"/>
      <c r="H211" s="67"/>
      <c r="I211" s="67"/>
    </row>
    <row r="212" spans="1:9" s="60" customFormat="1" ht="12.75">
      <c r="A212" s="58"/>
      <c r="B212" s="39"/>
      <c r="C212" s="200" t="s">
        <v>460</v>
      </c>
      <c r="D212" s="62" t="s">
        <v>145</v>
      </c>
      <c r="E212" s="427" t="s">
        <v>146</v>
      </c>
      <c r="F212" s="427"/>
      <c r="G212" s="427"/>
      <c r="H212" s="67">
        <f>J205/H191</f>
        <v>75.96190476190476</v>
      </c>
      <c r="I212" s="67">
        <f>K205/I191</f>
        <v>77.73719376391982</v>
      </c>
    </row>
    <row r="213" spans="1:9" s="60" customFormat="1" ht="12.75">
      <c r="A213" s="58"/>
      <c r="B213" s="39"/>
      <c r="C213" s="200" t="s">
        <v>376</v>
      </c>
      <c r="D213" s="62" t="s">
        <v>125</v>
      </c>
      <c r="E213" s="427" t="s">
        <v>125</v>
      </c>
      <c r="F213" s="427"/>
      <c r="G213" s="427"/>
      <c r="H213" s="67"/>
      <c r="I213" s="67"/>
    </row>
    <row r="214" spans="1:9" s="60" customFormat="1" ht="12.75">
      <c r="A214" s="58"/>
      <c r="B214" s="39"/>
      <c r="C214" s="200" t="s">
        <v>463</v>
      </c>
      <c r="D214" s="62" t="s">
        <v>145</v>
      </c>
      <c r="E214" s="427" t="s">
        <v>146</v>
      </c>
      <c r="F214" s="427"/>
      <c r="G214" s="427"/>
      <c r="H214" s="67">
        <f aca="true" t="shared" si="1" ref="H214:I216">J207/H193</f>
        <v>58.36004273504273</v>
      </c>
      <c r="I214" s="67">
        <f t="shared" si="1"/>
        <v>62.86196911196911</v>
      </c>
    </row>
    <row r="215" spans="1:9" s="60" customFormat="1" ht="26.25">
      <c r="A215" s="58"/>
      <c r="B215" s="39"/>
      <c r="C215" s="200" t="s">
        <v>464</v>
      </c>
      <c r="D215" s="62" t="s">
        <v>145</v>
      </c>
      <c r="E215" s="427" t="s">
        <v>146</v>
      </c>
      <c r="F215" s="427"/>
      <c r="G215" s="427"/>
      <c r="H215" s="67">
        <f t="shared" si="1"/>
        <v>95</v>
      </c>
      <c r="I215" s="67">
        <f t="shared" si="1"/>
        <v>97.58620689655173</v>
      </c>
    </row>
    <row r="216" spans="1:9" s="60" customFormat="1" ht="26.25">
      <c r="A216" s="58"/>
      <c r="B216" s="39"/>
      <c r="C216" s="200" t="s">
        <v>465</v>
      </c>
      <c r="D216" s="62" t="s">
        <v>145</v>
      </c>
      <c r="E216" s="427" t="s">
        <v>146</v>
      </c>
      <c r="F216" s="427"/>
      <c r="G216" s="427"/>
      <c r="H216" s="67">
        <f t="shared" si="1"/>
        <v>89.93315508021391</v>
      </c>
      <c r="I216" s="67">
        <f t="shared" si="1"/>
        <v>89.93315508021391</v>
      </c>
    </row>
    <row r="217" spans="1:9" s="255" customFormat="1" ht="12.75">
      <c r="A217" s="253"/>
      <c r="B217" s="39"/>
      <c r="C217" s="61" t="s">
        <v>333</v>
      </c>
      <c r="D217" s="227" t="s">
        <v>125</v>
      </c>
      <c r="E217" s="443" t="s">
        <v>125</v>
      </c>
      <c r="F217" s="443"/>
      <c r="G217" s="443"/>
      <c r="H217" s="254"/>
      <c r="I217" s="254"/>
    </row>
    <row r="218" spans="1:10" s="60" customFormat="1" ht="39">
      <c r="A218" s="58"/>
      <c r="B218" s="39"/>
      <c r="C218" s="200" t="s">
        <v>471</v>
      </c>
      <c r="D218" s="62" t="s">
        <v>123</v>
      </c>
      <c r="E218" s="427" t="s">
        <v>146</v>
      </c>
      <c r="F218" s="427"/>
      <c r="G218" s="427"/>
      <c r="H218" s="261">
        <f>H185/J218-100%</f>
        <v>0.5</v>
      </c>
      <c r="I218" s="261">
        <f>I185/J218-100%</f>
        <v>0.6875</v>
      </c>
      <c r="J218" s="60">
        <v>16</v>
      </c>
    </row>
    <row r="219" spans="1:10" s="60" customFormat="1" ht="12.75">
      <c r="A219" s="58"/>
      <c r="B219" s="39"/>
      <c r="C219" s="200" t="s">
        <v>376</v>
      </c>
      <c r="D219" s="62" t="s">
        <v>125</v>
      </c>
      <c r="E219" s="427" t="s">
        <v>125</v>
      </c>
      <c r="F219" s="427"/>
      <c r="G219" s="427"/>
      <c r="H219" s="59"/>
      <c r="I219" s="59"/>
      <c r="J219" s="60" t="s">
        <v>125</v>
      </c>
    </row>
    <row r="220" spans="1:10" s="60" customFormat="1" ht="12.75">
      <c r="A220" s="58"/>
      <c r="B220" s="39"/>
      <c r="C220" s="200" t="s">
        <v>460</v>
      </c>
      <c r="D220" s="62" t="s">
        <v>123</v>
      </c>
      <c r="E220" s="427" t="s">
        <v>146</v>
      </c>
      <c r="F220" s="427"/>
      <c r="G220" s="427"/>
      <c r="H220" s="261">
        <f>H185/J218-100%</f>
        <v>0.5</v>
      </c>
      <c r="I220" s="261">
        <f>I187/J220-100%</f>
        <v>0.8571428571428572</v>
      </c>
      <c r="J220" s="60">
        <v>7</v>
      </c>
    </row>
    <row r="221" spans="1:10" s="60" customFormat="1" ht="12.75">
      <c r="A221" s="58"/>
      <c r="B221" s="39"/>
      <c r="C221" s="200" t="s">
        <v>376</v>
      </c>
      <c r="D221" s="62" t="s">
        <v>125</v>
      </c>
      <c r="E221" s="427" t="s">
        <v>125</v>
      </c>
      <c r="F221" s="427"/>
      <c r="G221" s="427"/>
      <c r="H221" s="59"/>
      <c r="I221" s="59"/>
      <c r="J221" s="60">
        <v>1</v>
      </c>
    </row>
    <row r="222" spans="1:10" s="60" customFormat="1" ht="12.75">
      <c r="A222" s="58"/>
      <c r="B222" s="39"/>
      <c r="C222" s="200" t="s">
        <v>463</v>
      </c>
      <c r="D222" s="62" t="s">
        <v>123</v>
      </c>
      <c r="E222" s="427" t="s">
        <v>146</v>
      </c>
      <c r="F222" s="427"/>
      <c r="G222" s="427"/>
      <c r="H222" s="261">
        <f>H189/J220-100%</f>
        <v>0.7142857142857142</v>
      </c>
      <c r="I222" s="261">
        <f>I189/J222-100%</f>
        <v>0.5</v>
      </c>
      <c r="J222" s="60">
        <v>8</v>
      </c>
    </row>
    <row r="223" spans="1:9" s="60" customFormat="1" ht="26.25">
      <c r="A223" s="58"/>
      <c r="B223" s="39"/>
      <c r="C223" s="200" t="s">
        <v>464</v>
      </c>
      <c r="D223" s="62" t="s">
        <v>123</v>
      </c>
      <c r="E223" s="427" t="s">
        <v>146</v>
      </c>
      <c r="F223" s="427"/>
      <c r="G223" s="427"/>
      <c r="H223" s="261">
        <f>H188/J221-100%</f>
        <v>0</v>
      </c>
      <c r="I223" s="261">
        <f>I188/J221-100%</f>
        <v>1</v>
      </c>
    </row>
    <row r="224" spans="1:9" s="60" customFormat="1" ht="26.25">
      <c r="A224" s="58"/>
      <c r="B224" s="39"/>
      <c r="C224" s="200" t="s">
        <v>465</v>
      </c>
      <c r="D224" s="62" t="s">
        <v>123</v>
      </c>
      <c r="E224" s="427" t="s">
        <v>146</v>
      </c>
      <c r="F224" s="427"/>
      <c r="G224" s="427"/>
      <c r="H224" s="261">
        <f>H189/J222-100%</f>
        <v>0.5</v>
      </c>
      <c r="I224" s="261">
        <f>I189/J222-100%</f>
        <v>0.5</v>
      </c>
    </row>
    <row r="225" spans="1:9" s="60" customFormat="1" ht="12.75">
      <c r="A225" s="58"/>
      <c r="B225" s="39"/>
      <c r="C225" s="455" t="s">
        <v>472</v>
      </c>
      <c r="D225" s="456"/>
      <c r="E225" s="456"/>
      <c r="F225" s="456"/>
      <c r="G225" s="456"/>
      <c r="H225" s="456"/>
      <c r="I225" s="457"/>
    </row>
    <row r="226" spans="1:9" s="60" customFormat="1" ht="12.75">
      <c r="A226" s="58"/>
      <c r="B226" s="39"/>
      <c r="C226" s="200" t="s">
        <v>126</v>
      </c>
      <c r="D226" s="62" t="s">
        <v>125</v>
      </c>
      <c r="E226" s="539" t="s">
        <v>125</v>
      </c>
      <c r="F226" s="540"/>
      <c r="G226" s="541"/>
      <c r="H226" s="59"/>
      <c r="I226" s="59"/>
    </row>
    <row r="227" spans="1:9" s="60" customFormat="1" ht="12.75">
      <c r="A227" s="58"/>
      <c r="B227" s="39"/>
      <c r="C227" s="200" t="s">
        <v>149</v>
      </c>
      <c r="D227" s="62" t="s">
        <v>150</v>
      </c>
      <c r="E227" s="539" t="s">
        <v>128</v>
      </c>
      <c r="F227" s="540"/>
      <c r="G227" s="541"/>
      <c r="H227" s="59"/>
      <c r="I227" s="59">
        <v>8.5</v>
      </c>
    </row>
    <row r="228" spans="1:9" s="60" customFormat="1" ht="12.75">
      <c r="A228" s="58"/>
      <c r="B228" s="39"/>
      <c r="C228" s="200" t="s">
        <v>136</v>
      </c>
      <c r="D228" s="62" t="s">
        <v>125</v>
      </c>
      <c r="E228" s="539" t="s">
        <v>125</v>
      </c>
      <c r="F228" s="540"/>
      <c r="G228" s="541"/>
      <c r="H228" s="59"/>
      <c r="I228" s="59"/>
    </row>
    <row r="229" spans="1:9" s="60" customFormat="1" ht="12.75">
      <c r="A229" s="58"/>
      <c r="B229" s="39"/>
      <c r="C229" s="200" t="s">
        <v>151</v>
      </c>
      <c r="D229" s="62" t="s">
        <v>124</v>
      </c>
      <c r="E229" s="539" t="s">
        <v>128</v>
      </c>
      <c r="F229" s="540"/>
      <c r="G229" s="541"/>
      <c r="H229" s="59"/>
      <c r="I229" s="59">
        <v>1</v>
      </c>
    </row>
    <row r="230" spans="1:9" s="60" customFormat="1" ht="12.75">
      <c r="A230" s="58"/>
      <c r="B230" s="39"/>
      <c r="C230" s="200" t="s">
        <v>143</v>
      </c>
      <c r="D230" s="62" t="s">
        <v>125</v>
      </c>
      <c r="E230" s="539" t="s">
        <v>125</v>
      </c>
      <c r="F230" s="540"/>
      <c r="G230" s="541"/>
      <c r="H230" s="59"/>
      <c r="I230" s="59"/>
    </row>
    <row r="231" spans="1:9" s="60" customFormat="1" ht="12.75">
      <c r="A231" s="58"/>
      <c r="B231" s="39"/>
      <c r="C231" s="200" t="s">
        <v>318</v>
      </c>
      <c r="D231" s="62" t="s">
        <v>150</v>
      </c>
      <c r="E231" s="539" t="s">
        <v>146</v>
      </c>
      <c r="F231" s="540"/>
      <c r="G231" s="541"/>
      <c r="H231" s="59"/>
      <c r="I231" s="59">
        <f>I227</f>
        <v>8.5</v>
      </c>
    </row>
    <row r="232" spans="1:9" s="60" customFormat="1" ht="12.75">
      <c r="A232" s="58"/>
      <c r="B232" s="39"/>
      <c r="C232" s="200" t="s">
        <v>147</v>
      </c>
      <c r="D232" s="62" t="s">
        <v>125</v>
      </c>
      <c r="E232" s="539" t="s">
        <v>125</v>
      </c>
      <c r="F232" s="540"/>
      <c r="G232" s="541"/>
      <c r="H232" s="59"/>
      <c r="I232" s="59"/>
    </row>
    <row r="233" spans="1:9" s="60" customFormat="1" ht="12.75">
      <c r="A233" s="58"/>
      <c r="B233" s="39"/>
      <c r="C233" s="200" t="s">
        <v>153</v>
      </c>
      <c r="D233" s="62" t="s">
        <v>123</v>
      </c>
      <c r="E233" s="539" t="s">
        <v>128</v>
      </c>
      <c r="F233" s="540"/>
      <c r="G233" s="541"/>
      <c r="H233" s="59"/>
      <c r="I233" s="59">
        <v>100</v>
      </c>
    </row>
    <row r="234" ht="12.75">
      <c r="A234" s="22"/>
    </row>
    <row r="235" spans="1:9" ht="30.75" customHeight="1">
      <c r="A235" s="444" t="s">
        <v>27</v>
      </c>
      <c r="B235" s="444"/>
      <c r="C235" s="444"/>
      <c r="D235" s="444"/>
      <c r="E235" s="444"/>
      <c r="F235" s="444"/>
      <c r="G235" s="444"/>
      <c r="H235" s="444"/>
      <c r="I235" s="444"/>
    </row>
    <row r="236" spans="1:9" ht="15">
      <c r="A236" s="446"/>
      <c r="B236" s="446"/>
      <c r="C236" s="446"/>
      <c r="D236" s="446"/>
      <c r="E236" s="446"/>
      <c r="F236" s="446"/>
      <c r="G236" s="446"/>
      <c r="H236" s="446"/>
      <c r="I236" s="446"/>
    </row>
    <row r="237" spans="1:9" ht="15">
      <c r="A237" s="446"/>
      <c r="B237" s="446"/>
      <c r="C237" s="446"/>
      <c r="D237" s="446"/>
      <c r="E237" s="446"/>
      <c r="F237" s="446"/>
      <c r="G237" s="446"/>
      <c r="H237" s="446"/>
      <c r="I237" s="446"/>
    </row>
    <row r="238" spans="1:9" ht="15">
      <c r="A238" s="442" t="s">
        <v>210</v>
      </c>
      <c r="B238" s="442"/>
      <c r="C238" s="442"/>
      <c r="D238" s="442"/>
      <c r="E238" s="442"/>
      <c r="F238" s="442"/>
      <c r="G238" s="442"/>
      <c r="H238" s="442"/>
      <c r="I238" s="442"/>
    </row>
    <row r="239" ht="12.75">
      <c r="I239" s="2" t="s">
        <v>4</v>
      </c>
    </row>
    <row r="240" spans="1:9" s="19" customFormat="1" ht="12.75">
      <c r="A240" s="443" t="s">
        <v>3</v>
      </c>
      <c r="B240" s="443"/>
      <c r="C240" s="23"/>
      <c r="D240" s="18"/>
      <c r="E240" s="18"/>
      <c r="F240" s="18"/>
      <c r="G240" s="18"/>
      <c r="H240" s="443"/>
      <c r="I240" s="443"/>
    </row>
    <row r="241" ht="12.75">
      <c r="A241" s="3"/>
    </row>
    <row r="242" spans="1:9" ht="30.75" customHeight="1">
      <c r="A242" s="444" t="s">
        <v>211</v>
      </c>
      <c r="B242" s="444"/>
      <c r="C242" s="444"/>
      <c r="D242" s="444"/>
      <c r="E242" s="444"/>
      <c r="F242" s="444"/>
      <c r="G242" s="444"/>
      <c r="H242" s="444"/>
      <c r="I242" s="444"/>
    </row>
    <row r="243" ht="12.75">
      <c r="I243" s="2" t="s">
        <v>4</v>
      </c>
    </row>
    <row r="244" spans="1:9" ht="36.75" customHeight="1">
      <c r="A244" s="441" t="s">
        <v>23</v>
      </c>
      <c r="B244" s="441"/>
      <c r="C244" s="441" t="s">
        <v>1</v>
      </c>
      <c r="D244" s="441" t="s">
        <v>7</v>
      </c>
      <c r="E244" s="441"/>
      <c r="F244" s="441" t="s">
        <v>178</v>
      </c>
      <c r="G244" s="441"/>
      <c r="H244" s="441" t="s">
        <v>212</v>
      </c>
      <c r="I244" s="441"/>
    </row>
    <row r="245" spans="1:9" ht="36" customHeight="1">
      <c r="A245" s="441"/>
      <c r="B245" s="441"/>
      <c r="C245" s="441"/>
      <c r="D245" s="14" t="s">
        <v>28</v>
      </c>
      <c r="E245" s="14" t="s">
        <v>36</v>
      </c>
      <c r="F245" s="14" t="s">
        <v>28</v>
      </c>
      <c r="G245" s="14" t="s">
        <v>36</v>
      </c>
      <c r="H245" s="441"/>
      <c r="I245" s="441"/>
    </row>
    <row r="246" spans="1:9" ht="13.5" thickBot="1">
      <c r="A246" s="445">
        <v>1</v>
      </c>
      <c r="B246" s="445"/>
      <c r="C246" s="17">
        <v>2</v>
      </c>
      <c r="D246" s="16">
        <v>3</v>
      </c>
      <c r="E246" s="16">
        <v>4</v>
      </c>
      <c r="F246" s="16">
        <v>5</v>
      </c>
      <c r="G246" s="16">
        <v>6</v>
      </c>
      <c r="H246" s="445">
        <v>7</v>
      </c>
      <c r="I246" s="445"/>
    </row>
    <row r="247" spans="1:9" ht="13.5" thickTop="1">
      <c r="A247" s="447"/>
      <c r="B247" s="447"/>
      <c r="C247" s="15"/>
      <c r="D247" s="25"/>
      <c r="E247" s="25"/>
      <c r="F247" s="25"/>
      <c r="G247" s="25"/>
      <c r="H247" s="440"/>
      <c r="I247" s="440"/>
    </row>
    <row r="248" spans="1:9" ht="12.75">
      <c r="A248" s="402"/>
      <c r="B248" s="402"/>
      <c r="C248" s="12"/>
      <c r="D248" s="11"/>
      <c r="E248" s="11"/>
      <c r="F248" s="11"/>
      <c r="G248" s="11"/>
      <c r="H248" s="427"/>
      <c r="I248" s="427"/>
    </row>
    <row r="249" spans="1:9" ht="12.75">
      <c r="A249" s="402"/>
      <c r="B249" s="402"/>
      <c r="C249" s="12"/>
      <c r="D249" s="11"/>
      <c r="E249" s="11"/>
      <c r="F249" s="11"/>
      <c r="G249" s="11"/>
      <c r="H249" s="427"/>
      <c r="I249" s="427"/>
    </row>
    <row r="250" spans="1:9" ht="12.75">
      <c r="A250" s="402"/>
      <c r="B250" s="402"/>
      <c r="C250" s="12"/>
      <c r="D250" s="11"/>
      <c r="E250" s="11"/>
      <c r="F250" s="11"/>
      <c r="G250" s="11"/>
      <c r="H250" s="427"/>
      <c r="I250" s="427"/>
    </row>
    <row r="251" spans="1:9" ht="12.75">
      <c r="A251" s="402"/>
      <c r="B251" s="402"/>
      <c r="C251" s="12"/>
      <c r="D251" s="11"/>
      <c r="E251" s="11"/>
      <c r="F251" s="11"/>
      <c r="G251" s="11"/>
      <c r="H251" s="427"/>
      <c r="I251" s="427"/>
    </row>
    <row r="252" ht="15">
      <c r="A252" s="1"/>
    </row>
    <row r="253" spans="1:9" ht="14.25" customHeight="1">
      <c r="A253" s="444" t="s">
        <v>25</v>
      </c>
      <c r="B253" s="444"/>
      <c r="C253" s="444"/>
      <c r="D253" s="444"/>
      <c r="E253" s="444"/>
      <c r="F253" s="444"/>
      <c r="G253" s="444"/>
      <c r="H253" s="444"/>
      <c r="I253" s="444"/>
    </row>
    <row r="254" spans="1:9" ht="72.75" customHeight="1">
      <c r="A254" s="14" t="s">
        <v>20</v>
      </c>
      <c r="B254" s="8" t="s">
        <v>0</v>
      </c>
      <c r="C254" s="14" t="s">
        <v>1</v>
      </c>
      <c r="D254" s="14" t="s">
        <v>14</v>
      </c>
      <c r="E254" s="14" t="s">
        <v>15</v>
      </c>
      <c r="F254" s="14" t="s">
        <v>29</v>
      </c>
      <c r="G254" s="14" t="s">
        <v>30</v>
      </c>
      <c r="H254" s="14" t="s">
        <v>31</v>
      </c>
      <c r="I254" s="14" t="s">
        <v>32</v>
      </c>
    </row>
    <row r="255" spans="1:9" ht="13.5" thickBot="1">
      <c r="A255" s="17">
        <v>1</v>
      </c>
      <c r="B255" s="17">
        <v>2</v>
      </c>
      <c r="C255" s="16">
        <v>3</v>
      </c>
      <c r="D255" s="16">
        <v>4</v>
      </c>
      <c r="E255" s="16">
        <v>5</v>
      </c>
      <c r="F255" s="16">
        <v>6</v>
      </c>
      <c r="G255" s="16">
        <v>7</v>
      </c>
      <c r="H255" s="16">
        <v>8</v>
      </c>
      <c r="I255" s="16">
        <v>9</v>
      </c>
    </row>
    <row r="256" spans="1:9" ht="13.5" hidden="1" thickTop="1">
      <c r="A256" s="24"/>
      <c r="B256" s="26"/>
      <c r="C256" s="26" t="s">
        <v>10</v>
      </c>
      <c r="D256" s="24"/>
      <c r="E256" s="24"/>
      <c r="F256" s="24"/>
      <c r="G256" s="24"/>
      <c r="H256" s="24"/>
      <c r="I256" s="24"/>
    </row>
    <row r="257" spans="1:9" ht="13.5" hidden="1" thickTop="1">
      <c r="A257" s="18"/>
      <c r="B257" s="12"/>
      <c r="C257" s="12" t="s">
        <v>26</v>
      </c>
      <c r="D257" s="18"/>
      <c r="E257" s="18"/>
      <c r="F257" s="18"/>
      <c r="G257" s="18"/>
      <c r="H257" s="18"/>
      <c r="I257" s="18"/>
    </row>
    <row r="258" spans="1:9" ht="13.5" hidden="1" thickTop="1">
      <c r="A258" s="18"/>
      <c r="B258" s="12"/>
      <c r="C258" s="12" t="s">
        <v>16</v>
      </c>
      <c r="D258" s="18"/>
      <c r="E258" s="18"/>
      <c r="F258" s="18"/>
      <c r="G258" s="18"/>
      <c r="H258" s="18"/>
      <c r="I258" s="18"/>
    </row>
    <row r="259" spans="1:9" ht="13.5" hidden="1" thickTop="1">
      <c r="A259" s="18"/>
      <c r="B259" s="12"/>
      <c r="C259" s="12" t="s">
        <v>2</v>
      </c>
      <c r="D259" s="18"/>
      <c r="E259" s="18"/>
      <c r="F259" s="18"/>
      <c r="G259" s="18"/>
      <c r="H259" s="18"/>
      <c r="I259" s="18"/>
    </row>
    <row r="260" spans="1:9" ht="13.5" hidden="1" thickTop="1">
      <c r="A260" s="18"/>
      <c r="B260" s="12"/>
      <c r="C260" s="12" t="s">
        <v>17</v>
      </c>
      <c r="D260" s="18"/>
      <c r="E260" s="18"/>
      <c r="F260" s="18"/>
      <c r="G260" s="18"/>
      <c r="H260" s="18"/>
      <c r="I260" s="18"/>
    </row>
    <row r="261" spans="1:9" ht="13.5" hidden="1" thickTop="1">
      <c r="A261" s="18"/>
      <c r="B261" s="12"/>
      <c r="C261" s="12" t="s">
        <v>2</v>
      </c>
      <c r="D261" s="18"/>
      <c r="E261" s="18"/>
      <c r="F261" s="18"/>
      <c r="G261" s="18"/>
      <c r="H261" s="18"/>
      <c r="I261" s="18"/>
    </row>
    <row r="262" spans="1:9" ht="13.5" hidden="1" thickTop="1">
      <c r="A262" s="18"/>
      <c r="B262" s="12"/>
      <c r="C262" s="12" t="s">
        <v>18</v>
      </c>
      <c r="D262" s="18"/>
      <c r="E262" s="18"/>
      <c r="F262" s="18"/>
      <c r="G262" s="18"/>
      <c r="H262" s="18"/>
      <c r="I262" s="18"/>
    </row>
    <row r="263" spans="1:9" ht="13.5" hidden="1" thickTop="1">
      <c r="A263" s="18"/>
      <c r="B263" s="12"/>
      <c r="C263" s="12" t="s">
        <v>33</v>
      </c>
      <c r="D263" s="18"/>
      <c r="E263" s="18"/>
      <c r="F263" s="18"/>
      <c r="G263" s="18"/>
      <c r="H263" s="18"/>
      <c r="I263" s="18"/>
    </row>
    <row r="264" spans="1:9" ht="13.5" hidden="1" thickTop="1">
      <c r="A264" s="18"/>
      <c r="B264" s="12"/>
      <c r="C264" s="12" t="s">
        <v>19</v>
      </c>
      <c r="D264" s="18"/>
      <c r="E264" s="18"/>
      <c r="F264" s="18"/>
      <c r="G264" s="18"/>
      <c r="H264" s="18"/>
      <c r="I264" s="18"/>
    </row>
    <row r="265" spans="1:9" ht="13.5" hidden="1" thickTop="1">
      <c r="A265" s="18"/>
      <c r="B265" s="12"/>
      <c r="C265" s="12" t="s">
        <v>2</v>
      </c>
      <c r="D265" s="18"/>
      <c r="E265" s="18"/>
      <c r="F265" s="18"/>
      <c r="G265" s="18"/>
      <c r="H265" s="18"/>
      <c r="I265" s="18"/>
    </row>
    <row r="266" spans="1:9" ht="13.5" hidden="1" thickTop="1">
      <c r="A266" s="18"/>
      <c r="B266" s="13"/>
      <c r="C266" s="13" t="s">
        <v>11</v>
      </c>
      <c r="D266" s="18"/>
      <c r="E266" s="18"/>
      <c r="F266" s="18"/>
      <c r="G266" s="18"/>
      <c r="H266" s="18"/>
      <c r="I266" s="18"/>
    </row>
    <row r="267" spans="1:9" ht="13.5" thickTop="1">
      <c r="A267" s="18"/>
      <c r="B267" s="12"/>
      <c r="C267" s="12" t="s">
        <v>2</v>
      </c>
      <c r="D267" s="18"/>
      <c r="E267" s="18"/>
      <c r="F267" s="18"/>
      <c r="G267" s="18"/>
      <c r="H267" s="18"/>
      <c r="I267" s="18"/>
    </row>
    <row r="268" ht="12.75">
      <c r="A268" s="22"/>
    </row>
    <row r="269" spans="1:9" ht="30.75" customHeight="1">
      <c r="A269" s="444" t="s">
        <v>34</v>
      </c>
      <c r="B269" s="444"/>
      <c r="C269" s="444"/>
      <c r="D269" s="444"/>
      <c r="E269" s="444"/>
      <c r="F269" s="444"/>
      <c r="G269" s="444"/>
      <c r="H269" s="444"/>
      <c r="I269" s="444"/>
    </row>
    <row r="270" spans="1:9" ht="15">
      <c r="A270" s="446"/>
      <c r="B270" s="446"/>
      <c r="C270" s="446"/>
      <c r="D270" s="446"/>
      <c r="E270" s="446"/>
      <c r="F270" s="446"/>
      <c r="G270" s="446"/>
      <c r="H270" s="446"/>
      <c r="I270" s="446"/>
    </row>
    <row r="271" spans="1:9" ht="15">
      <c r="A271" s="442" t="s">
        <v>213</v>
      </c>
      <c r="B271" s="442"/>
      <c r="C271" s="442"/>
      <c r="D271" s="442"/>
      <c r="E271" s="442"/>
      <c r="F271" s="442"/>
      <c r="G271" s="442"/>
      <c r="H271" s="442"/>
      <c r="I271" s="442"/>
    </row>
    <row r="272" spans="1:9" ht="12.75">
      <c r="A272" s="2" t="s">
        <v>35</v>
      </c>
      <c r="I272" s="2" t="s">
        <v>4</v>
      </c>
    </row>
    <row r="273" spans="1:9" s="19" customFormat="1" ht="12.75">
      <c r="A273" s="443" t="s">
        <v>3</v>
      </c>
      <c r="B273" s="443"/>
      <c r="C273" s="23"/>
      <c r="D273" s="18"/>
      <c r="E273" s="18"/>
      <c r="F273" s="18"/>
      <c r="G273" s="18"/>
      <c r="H273" s="443"/>
      <c r="I273" s="443"/>
    </row>
    <row r="274" ht="12.75">
      <c r="A274" s="4"/>
    </row>
    <row r="275" ht="12.75">
      <c r="A275" s="4"/>
    </row>
    <row r="276" spans="1:9" ht="18.75" customHeight="1">
      <c r="A276" s="393" t="s">
        <v>159</v>
      </c>
      <c r="B276" s="393"/>
      <c r="C276" s="393"/>
      <c r="E276" s="392" t="s">
        <v>8</v>
      </c>
      <c r="F276" s="392"/>
      <c r="H276" s="392" t="s">
        <v>108</v>
      </c>
      <c r="I276" s="392"/>
    </row>
    <row r="277" spans="1:9" ht="15">
      <c r="A277" s="5"/>
      <c r="B277" s="5"/>
      <c r="E277" s="431" t="s">
        <v>5</v>
      </c>
      <c r="F277" s="431"/>
      <c r="H277" s="431" t="s">
        <v>6</v>
      </c>
      <c r="I277" s="431"/>
    </row>
    <row r="278" spans="1:8" ht="12.75" customHeight="1">
      <c r="A278" s="10"/>
      <c r="B278" s="10"/>
      <c r="E278" s="9"/>
      <c r="H278" s="9"/>
    </row>
    <row r="279" spans="1:9" ht="18.75" customHeight="1">
      <c r="A279" s="393" t="s">
        <v>107</v>
      </c>
      <c r="B279" s="393"/>
      <c r="C279" s="393"/>
      <c r="E279" s="392" t="s">
        <v>8</v>
      </c>
      <c r="F279" s="392"/>
      <c r="H279" s="392" t="s">
        <v>109</v>
      </c>
      <c r="I279" s="392"/>
    </row>
    <row r="280" spans="1:9" ht="15">
      <c r="A280" s="5"/>
      <c r="E280" s="431" t="s">
        <v>5</v>
      </c>
      <c r="F280" s="431"/>
      <c r="H280" s="431" t="s">
        <v>6</v>
      </c>
      <c r="I280" s="431"/>
    </row>
    <row r="281" ht="12.75">
      <c r="A281" s="4"/>
    </row>
    <row r="282" ht="12.75">
      <c r="A282" s="4"/>
    </row>
  </sheetData>
  <sheetProtection/>
  <mergeCells count="258">
    <mergeCell ref="H128:I128"/>
    <mergeCell ref="H121:I121"/>
    <mergeCell ref="H122:I122"/>
    <mergeCell ref="H129:I129"/>
    <mergeCell ref="H130:I130"/>
    <mergeCell ref="H131:I131"/>
    <mergeCell ref="H123:I123"/>
    <mergeCell ref="H124:I124"/>
    <mergeCell ref="H125:I125"/>
    <mergeCell ref="H126:I126"/>
    <mergeCell ref="H127:I127"/>
    <mergeCell ref="H109:I109"/>
    <mergeCell ref="H110:I110"/>
    <mergeCell ref="H117:I117"/>
    <mergeCell ref="H118:I118"/>
    <mergeCell ref="H119:I119"/>
    <mergeCell ref="H120:I120"/>
    <mergeCell ref="H103:I103"/>
    <mergeCell ref="H104:I104"/>
    <mergeCell ref="H114:I114"/>
    <mergeCell ref="H115:I115"/>
    <mergeCell ref="H116:I116"/>
    <mergeCell ref="H111:I113"/>
    <mergeCell ref="H105:I105"/>
    <mergeCell ref="H106:I106"/>
    <mergeCell ref="H107:I107"/>
    <mergeCell ref="H108:I108"/>
    <mergeCell ref="H97:I97"/>
    <mergeCell ref="H98:I98"/>
    <mergeCell ref="H99:I99"/>
    <mergeCell ref="H100:I100"/>
    <mergeCell ref="H101:I101"/>
    <mergeCell ref="H102:I102"/>
    <mergeCell ref="H91:I91"/>
    <mergeCell ref="H92:I92"/>
    <mergeCell ref="H93:I93"/>
    <mergeCell ref="H94:I94"/>
    <mergeCell ref="H95:I95"/>
    <mergeCell ref="H96:I96"/>
    <mergeCell ref="H86:I86"/>
    <mergeCell ref="H77:I81"/>
    <mergeCell ref="H87:I87"/>
    <mergeCell ref="H88:I88"/>
    <mergeCell ref="H89:I89"/>
    <mergeCell ref="H90:I90"/>
    <mergeCell ref="H73:I73"/>
    <mergeCell ref="H74:I74"/>
    <mergeCell ref="H82:I82"/>
    <mergeCell ref="H83:I83"/>
    <mergeCell ref="H84:I84"/>
    <mergeCell ref="H85:I85"/>
    <mergeCell ref="H65:I65"/>
    <mergeCell ref="H66:I66"/>
    <mergeCell ref="H67:I67"/>
    <mergeCell ref="H68:I68"/>
    <mergeCell ref="H75:I75"/>
    <mergeCell ref="H76:I76"/>
    <mergeCell ref="H69:I69"/>
    <mergeCell ref="H70:I70"/>
    <mergeCell ref="H71:I71"/>
    <mergeCell ref="H72:I72"/>
    <mergeCell ref="H59:I59"/>
    <mergeCell ref="H60:I60"/>
    <mergeCell ref="H61:I61"/>
    <mergeCell ref="H62:I62"/>
    <mergeCell ref="H63:I63"/>
    <mergeCell ref="H64:I64"/>
    <mergeCell ref="H53:I53"/>
    <mergeCell ref="H54:I54"/>
    <mergeCell ref="H55:I55"/>
    <mergeCell ref="H56:I56"/>
    <mergeCell ref="H57:I57"/>
    <mergeCell ref="H58:I58"/>
    <mergeCell ref="H47:I47"/>
    <mergeCell ref="H48:I48"/>
    <mergeCell ref="H49:I49"/>
    <mergeCell ref="H50:I50"/>
    <mergeCell ref="H51:I51"/>
    <mergeCell ref="H52:I52"/>
    <mergeCell ref="H41:I41"/>
    <mergeCell ref="H42:I42"/>
    <mergeCell ref="H43:I43"/>
    <mergeCell ref="H44:I44"/>
    <mergeCell ref="H45:I45"/>
    <mergeCell ref="H46:I46"/>
    <mergeCell ref="H35:I35"/>
    <mergeCell ref="H36:I36"/>
    <mergeCell ref="H37:I37"/>
    <mergeCell ref="H38:I38"/>
    <mergeCell ref="H39:I39"/>
    <mergeCell ref="H40:I40"/>
    <mergeCell ref="H32:I32"/>
    <mergeCell ref="H29:I30"/>
    <mergeCell ref="H25:I25"/>
    <mergeCell ref="H26:I26"/>
    <mergeCell ref="H33:I33"/>
    <mergeCell ref="H34:I34"/>
    <mergeCell ref="A1:I1"/>
    <mergeCell ref="A3:I3"/>
    <mergeCell ref="A4:I4"/>
    <mergeCell ref="B5:J5"/>
    <mergeCell ref="B6:J6"/>
    <mergeCell ref="B12:I12"/>
    <mergeCell ref="E14:E15"/>
    <mergeCell ref="F14:G14"/>
    <mergeCell ref="H14:I15"/>
    <mergeCell ref="A16:B16"/>
    <mergeCell ref="H16:I16"/>
    <mergeCell ref="H17:I17"/>
    <mergeCell ref="A14:B15"/>
    <mergeCell ref="C14:C15"/>
    <mergeCell ref="D14:D15"/>
    <mergeCell ref="H18:I18"/>
    <mergeCell ref="H19:I19"/>
    <mergeCell ref="A133:I133"/>
    <mergeCell ref="E134:G134"/>
    <mergeCell ref="E135:G135"/>
    <mergeCell ref="E136:G136"/>
    <mergeCell ref="H20:I24"/>
    <mergeCell ref="H27:I27"/>
    <mergeCell ref="H28:I28"/>
    <mergeCell ref="H31:I31"/>
    <mergeCell ref="C138:I138"/>
    <mergeCell ref="C137:I137"/>
    <mergeCell ref="E194:G194"/>
    <mergeCell ref="E195:G195"/>
    <mergeCell ref="E196:G196"/>
    <mergeCell ref="E197:G197"/>
    <mergeCell ref="E141:G141"/>
    <mergeCell ref="E140:G140"/>
    <mergeCell ref="E139:G139"/>
    <mergeCell ref="E150:G150"/>
    <mergeCell ref="E198:G198"/>
    <mergeCell ref="E199:G199"/>
    <mergeCell ref="E200:G200"/>
    <mergeCell ref="E201:G201"/>
    <mergeCell ref="E202:G202"/>
    <mergeCell ref="E203:G203"/>
    <mergeCell ref="E204:G204"/>
    <mergeCell ref="E205:G205"/>
    <mergeCell ref="E210:G210"/>
    <mergeCell ref="E230:G230"/>
    <mergeCell ref="E229:G229"/>
    <mergeCell ref="E228:G228"/>
    <mergeCell ref="E227:G227"/>
    <mergeCell ref="E226:G226"/>
    <mergeCell ref="E211:G211"/>
    <mergeCell ref="E231:G231"/>
    <mergeCell ref="E212:G212"/>
    <mergeCell ref="E213:G213"/>
    <mergeCell ref="E214:G214"/>
    <mergeCell ref="E215:G215"/>
    <mergeCell ref="E216:G216"/>
    <mergeCell ref="E217:G217"/>
    <mergeCell ref="E220:G220"/>
    <mergeCell ref="E219:G219"/>
    <mergeCell ref="A235:I235"/>
    <mergeCell ref="A236:I236"/>
    <mergeCell ref="A237:I237"/>
    <mergeCell ref="A238:I238"/>
    <mergeCell ref="E233:G233"/>
    <mergeCell ref="E232:G232"/>
    <mergeCell ref="A240:B240"/>
    <mergeCell ref="H240:I240"/>
    <mergeCell ref="A242:I242"/>
    <mergeCell ref="A244:B245"/>
    <mergeCell ref="C244:C245"/>
    <mergeCell ref="D244:E244"/>
    <mergeCell ref="F244:G244"/>
    <mergeCell ref="H244:I245"/>
    <mergeCell ref="A246:B246"/>
    <mergeCell ref="H246:I246"/>
    <mergeCell ref="A247:B247"/>
    <mergeCell ref="H247:I247"/>
    <mergeCell ref="A248:B248"/>
    <mergeCell ref="H248:I248"/>
    <mergeCell ref="A249:B249"/>
    <mergeCell ref="H249:I249"/>
    <mergeCell ref="A250:B250"/>
    <mergeCell ref="H250:I250"/>
    <mergeCell ref="A251:B251"/>
    <mergeCell ref="H251:I251"/>
    <mergeCell ref="A253:I253"/>
    <mergeCell ref="A269:I269"/>
    <mergeCell ref="A270:I270"/>
    <mergeCell ref="A271:I271"/>
    <mergeCell ref="A273:B273"/>
    <mergeCell ref="H273:I273"/>
    <mergeCell ref="E280:F280"/>
    <mergeCell ref="H280:I280"/>
    <mergeCell ref="A276:C276"/>
    <mergeCell ref="E276:F276"/>
    <mergeCell ref="H276:I276"/>
    <mergeCell ref="E277:F277"/>
    <mergeCell ref="H277:I277"/>
    <mergeCell ref="A279:C279"/>
    <mergeCell ref="E279:F279"/>
    <mergeCell ref="H279:I279"/>
    <mergeCell ref="E149:G149"/>
    <mergeCell ref="E148:G148"/>
    <mergeCell ref="E147:G147"/>
    <mergeCell ref="E146:G146"/>
    <mergeCell ref="E145:G145"/>
    <mergeCell ref="E144:G144"/>
    <mergeCell ref="E143:G143"/>
    <mergeCell ref="E142:G142"/>
    <mergeCell ref="E160:G160"/>
    <mergeCell ref="E159:G159"/>
    <mergeCell ref="E158:G158"/>
    <mergeCell ref="E157:G157"/>
    <mergeCell ref="E156:G156"/>
    <mergeCell ref="E155:G155"/>
    <mergeCell ref="E154:G154"/>
    <mergeCell ref="E153:G153"/>
    <mergeCell ref="E152:G152"/>
    <mergeCell ref="E151:G151"/>
    <mergeCell ref="E162:G162"/>
    <mergeCell ref="E161:G161"/>
    <mergeCell ref="C163:I163"/>
    <mergeCell ref="C164:I164"/>
    <mergeCell ref="E169:G169"/>
    <mergeCell ref="E168:G168"/>
    <mergeCell ref="E166:G167"/>
    <mergeCell ref="E176:G176"/>
    <mergeCell ref="E175:G175"/>
    <mergeCell ref="E174:G174"/>
    <mergeCell ref="E173:G173"/>
    <mergeCell ref="E172:G172"/>
    <mergeCell ref="E183:G183"/>
    <mergeCell ref="E182:G182"/>
    <mergeCell ref="E171:G171"/>
    <mergeCell ref="E170:G170"/>
    <mergeCell ref="C177:I177"/>
    <mergeCell ref="E193:G193"/>
    <mergeCell ref="E192:G192"/>
    <mergeCell ref="E191:G191"/>
    <mergeCell ref="E190:G190"/>
    <mergeCell ref="E189:G189"/>
    <mergeCell ref="E187:G187"/>
    <mergeCell ref="E186:G186"/>
    <mergeCell ref="E185:G185"/>
    <mergeCell ref="E184:G184"/>
    <mergeCell ref="E188:G188"/>
    <mergeCell ref="E218:G218"/>
    <mergeCell ref="E206:G206"/>
    <mergeCell ref="E207:G207"/>
    <mergeCell ref="E208:G208"/>
    <mergeCell ref="E209:G209"/>
    <mergeCell ref="E165:G165"/>
    <mergeCell ref="C225:I225"/>
    <mergeCell ref="E181:G181"/>
    <mergeCell ref="E180:G180"/>
    <mergeCell ref="E179:G179"/>
    <mergeCell ref="E178:G178"/>
    <mergeCell ref="E224:G224"/>
    <mergeCell ref="E223:G223"/>
    <mergeCell ref="E222:G222"/>
    <mergeCell ref="E221:G221"/>
  </mergeCells>
  <printOptions horizontalCentered="1"/>
  <pageMargins left="0.2362204724409449" right="0.15748031496062992" top="0.1968503937007874" bottom="0.15748031496062992" header="0.1968503937007874" footer="0.11811023622047245"/>
  <pageSetup fitToHeight="0" fitToWidth="1"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sheetPr>
    <tabColor rgb="FFFFC000"/>
    <pageSetUpPr fitToPage="1"/>
  </sheetPr>
  <dimension ref="A1:J138"/>
  <sheetViews>
    <sheetView view="pageBreakPreview" zoomScale="90" zoomScaleSheetLayoutView="90" zoomScalePageLayoutView="0" workbookViewId="0" topLeftCell="B1">
      <selection activeCell="B8" sqref="B8"/>
    </sheetView>
  </sheetViews>
  <sheetFormatPr defaultColWidth="9.00390625" defaultRowHeight="12.75"/>
  <cols>
    <col min="1" max="1" width="6.375" style="0" hidden="1" customWidth="1"/>
    <col min="2" max="2" width="7.625" style="0" customWidth="1"/>
    <col min="3" max="3" width="84.50390625" style="0" customWidth="1"/>
    <col min="4" max="4" width="8.375" style="0" customWidth="1"/>
    <col min="5" max="6" width="8.50390625" style="0" customWidth="1"/>
    <col min="7" max="7" width="11.375" style="0" customWidth="1"/>
    <col min="8" max="8" width="32.50390625" style="0" customWidth="1"/>
    <col min="9" max="9" width="32.375" style="0" customWidth="1"/>
    <col min="10" max="10" width="10.50390625" style="0" customWidth="1"/>
  </cols>
  <sheetData>
    <row r="1" spans="1:9" s="60" customFormat="1" ht="21" thickBot="1">
      <c r="A1" s="432" t="s">
        <v>217</v>
      </c>
      <c r="B1" s="432"/>
      <c r="C1" s="432"/>
      <c r="D1" s="432"/>
      <c r="E1" s="432"/>
      <c r="F1" s="432"/>
      <c r="G1" s="432"/>
      <c r="H1" s="432"/>
      <c r="I1" s="432"/>
    </row>
    <row r="2" s="60" customFormat="1" ht="9.75" customHeight="1" thickTop="1">
      <c r="A2" s="70"/>
    </row>
    <row r="3" spans="1:9" s="60" customFormat="1" ht="15">
      <c r="A3" s="433" t="s">
        <v>160</v>
      </c>
      <c r="B3" s="433"/>
      <c r="C3" s="433"/>
      <c r="D3" s="433"/>
      <c r="E3" s="433"/>
      <c r="F3" s="433"/>
      <c r="G3" s="433"/>
      <c r="H3" s="433"/>
      <c r="I3" s="433"/>
    </row>
    <row r="4" spans="1:9" s="60" customFormat="1" ht="12" customHeight="1">
      <c r="A4" s="434" t="s">
        <v>206</v>
      </c>
      <c r="B4" s="434"/>
      <c r="C4" s="434"/>
      <c r="D4" s="434"/>
      <c r="E4" s="434"/>
      <c r="F4" s="434"/>
      <c r="G4" s="434"/>
      <c r="H4" s="434"/>
      <c r="I4" s="434"/>
    </row>
    <row r="5" spans="1:10" s="60" customFormat="1" ht="12" customHeight="1">
      <c r="A5" s="112"/>
      <c r="B5" s="433" t="s">
        <v>205</v>
      </c>
      <c r="C5" s="433"/>
      <c r="D5" s="433"/>
      <c r="E5" s="433"/>
      <c r="F5" s="433"/>
      <c r="G5" s="433"/>
      <c r="H5" s="433"/>
      <c r="I5" s="433"/>
      <c r="J5" s="433"/>
    </row>
    <row r="6" spans="1:10" s="60" customFormat="1" ht="12" customHeight="1">
      <c r="A6" s="112"/>
      <c r="B6" s="434" t="s">
        <v>207</v>
      </c>
      <c r="C6" s="434"/>
      <c r="D6" s="434"/>
      <c r="E6" s="434"/>
      <c r="F6" s="434"/>
      <c r="G6" s="434"/>
      <c r="H6" s="434"/>
      <c r="I6" s="434"/>
      <c r="J6" s="434"/>
    </row>
    <row r="7" spans="1:9" s="60" customFormat="1" ht="12" customHeight="1">
      <c r="A7" s="112"/>
      <c r="B7" s="119"/>
      <c r="C7" s="116"/>
      <c r="D7" s="116"/>
      <c r="E7" s="116"/>
      <c r="F7" s="116"/>
      <c r="G7" s="116"/>
      <c r="H7" s="116"/>
      <c r="I7" s="116"/>
    </row>
    <row r="8" spans="1:9" s="60" customFormat="1" ht="12" customHeight="1">
      <c r="A8" s="112"/>
      <c r="B8" s="115" t="s">
        <v>250</v>
      </c>
      <c r="C8" s="116"/>
      <c r="D8" s="116"/>
      <c r="E8" s="116"/>
      <c r="F8" s="116"/>
      <c r="G8" s="116"/>
      <c r="H8" s="116"/>
      <c r="I8" s="116"/>
    </row>
    <row r="9" spans="1:9" s="60" customFormat="1" ht="12" customHeight="1">
      <c r="A9" s="112"/>
      <c r="B9" s="117"/>
      <c r="C9" s="118" t="s">
        <v>201</v>
      </c>
      <c r="D9" s="116"/>
      <c r="E9" s="120" t="s">
        <v>202</v>
      </c>
      <c r="F9" s="116"/>
      <c r="H9" s="116"/>
      <c r="I9" s="116"/>
    </row>
    <row r="10" spans="1:9" s="60" customFormat="1" ht="12" customHeight="1">
      <c r="A10" s="112"/>
      <c r="B10" s="121"/>
      <c r="C10" s="121"/>
      <c r="D10" s="121"/>
      <c r="E10" s="121"/>
      <c r="F10" s="121"/>
      <c r="G10" s="121"/>
      <c r="H10" s="121"/>
      <c r="I10" s="121"/>
    </row>
    <row r="11" spans="1:9" s="60" customFormat="1" ht="12" customHeight="1">
      <c r="A11" s="112"/>
      <c r="B11" s="115" t="s">
        <v>203</v>
      </c>
      <c r="C11" s="115"/>
      <c r="D11" s="115"/>
      <c r="E11" s="115"/>
      <c r="F11" s="115"/>
      <c r="G11" s="115"/>
      <c r="H11" s="115"/>
      <c r="I11" s="115"/>
    </row>
    <row r="12" spans="1:9" s="60" customFormat="1" ht="12" customHeight="1">
      <c r="A12" s="112"/>
      <c r="B12" s="400" t="s">
        <v>204</v>
      </c>
      <c r="C12" s="400"/>
      <c r="D12" s="400"/>
      <c r="E12" s="400"/>
      <c r="F12" s="400"/>
      <c r="G12" s="400"/>
      <c r="H12" s="400"/>
      <c r="I12" s="400"/>
    </row>
    <row r="13" s="60" customFormat="1" ht="12.75">
      <c r="I13" s="71" t="s">
        <v>4</v>
      </c>
    </row>
    <row r="14" spans="1:9" s="60" customFormat="1" ht="12.75">
      <c r="A14" s="417" t="s">
        <v>23</v>
      </c>
      <c r="B14" s="417"/>
      <c r="C14" s="417" t="s">
        <v>1</v>
      </c>
      <c r="D14" s="417" t="s">
        <v>175</v>
      </c>
      <c r="E14" s="417" t="s">
        <v>176</v>
      </c>
      <c r="F14" s="417" t="s">
        <v>177</v>
      </c>
      <c r="G14" s="417"/>
      <c r="H14" s="417" t="s">
        <v>208</v>
      </c>
      <c r="I14" s="417"/>
    </row>
    <row r="15" spans="1:9" s="60" customFormat="1" ht="27" customHeight="1">
      <c r="A15" s="417"/>
      <c r="B15" s="417"/>
      <c r="C15" s="417"/>
      <c r="D15" s="417"/>
      <c r="E15" s="417"/>
      <c r="F15" s="111" t="s">
        <v>24</v>
      </c>
      <c r="G15" s="111" t="s">
        <v>36</v>
      </c>
      <c r="H15" s="417"/>
      <c r="I15" s="417"/>
    </row>
    <row r="16" spans="1:9" s="60" customFormat="1" ht="13.5" thickBot="1">
      <c r="A16" s="415">
        <v>1</v>
      </c>
      <c r="B16" s="415"/>
      <c r="C16" s="113">
        <v>2</v>
      </c>
      <c r="D16" s="113">
        <v>3</v>
      </c>
      <c r="E16" s="113">
        <v>4</v>
      </c>
      <c r="F16" s="113">
        <v>5</v>
      </c>
      <c r="G16" s="113">
        <v>6</v>
      </c>
      <c r="H16" s="416">
        <v>7</v>
      </c>
      <c r="I16" s="416"/>
    </row>
    <row r="17" spans="2:9" s="165" customFormat="1" ht="13.5" thickTop="1">
      <c r="B17" s="169">
        <f>'2019-3 СВОД'!B1348</f>
        <v>1116080</v>
      </c>
      <c r="C17" s="169" t="str">
        <f>'2019-3 СВОД'!C1348</f>
        <v>Програма Реалізація державних та місцевих житлових програм</v>
      </c>
      <c r="D17" s="166">
        <f>D19+D54</f>
        <v>0</v>
      </c>
      <c r="E17" s="166">
        <f>E19+E54</f>
        <v>6972.3</v>
      </c>
      <c r="F17" s="166">
        <f>F19+F54</f>
        <v>0</v>
      </c>
      <c r="G17" s="166">
        <f>G19+G54</f>
        <v>2000</v>
      </c>
      <c r="H17" s="402"/>
      <c r="I17" s="402"/>
    </row>
    <row r="18" spans="2:9" s="153" customFormat="1" ht="12.75">
      <c r="B18" s="151">
        <f>'2019-3 СВОД'!B1349</f>
        <v>1116082</v>
      </c>
      <c r="C18" s="151" t="str">
        <f>'2019-3 СВОД'!C1349</f>
        <v>Підпрограма Придбання житла для окремих категорій населення відповідно до законодавства</v>
      </c>
      <c r="D18" s="152">
        <f>D19+D54</f>
        <v>0</v>
      </c>
      <c r="E18" s="152">
        <f>E19+E54</f>
        <v>6972.3</v>
      </c>
      <c r="F18" s="152">
        <f>F19+F54</f>
        <v>0</v>
      </c>
      <c r="G18" s="152">
        <f>G19+G54</f>
        <v>2000</v>
      </c>
      <c r="H18" s="429"/>
      <c r="I18" s="429"/>
    </row>
    <row r="19" spans="1:9" ht="12.75" customHeight="1" hidden="1">
      <c r="A19" s="6"/>
      <c r="B19" s="27">
        <v>2000</v>
      </c>
      <c r="C19" s="28" t="s">
        <v>37</v>
      </c>
      <c r="D19" s="33">
        <f>D20+D25+D42+D45+D49+D53</f>
        <v>0</v>
      </c>
      <c r="E19" s="33">
        <f>E20+E25+E42+E45+E49+E53</f>
        <v>0</v>
      </c>
      <c r="F19" s="33">
        <f>F20+F25+F42+F45+F49+F53</f>
        <v>0</v>
      </c>
      <c r="G19" s="33">
        <f>G20+G25+G42+G45+G49+G53</f>
        <v>0</v>
      </c>
      <c r="H19" s="402"/>
      <c r="I19" s="402"/>
    </row>
    <row r="20" spans="1:9" ht="12.75" customHeight="1" hidden="1">
      <c r="A20" s="6"/>
      <c r="B20" s="29">
        <v>2100</v>
      </c>
      <c r="C20" s="30" t="s">
        <v>38</v>
      </c>
      <c r="D20" s="35">
        <f>D21+D24</f>
        <v>0</v>
      </c>
      <c r="E20" s="35">
        <f>E21+E24</f>
        <v>0</v>
      </c>
      <c r="F20" s="35">
        <f>F21+F24</f>
        <v>0</v>
      </c>
      <c r="G20" s="35">
        <f>G21+G24</f>
        <v>0</v>
      </c>
      <c r="H20" s="402"/>
      <c r="I20" s="402"/>
    </row>
    <row r="21" spans="1:9" ht="12.75" customHeight="1" hidden="1">
      <c r="A21" s="6"/>
      <c r="B21" s="29">
        <v>2110</v>
      </c>
      <c r="C21" s="30" t="s">
        <v>39</v>
      </c>
      <c r="D21" s="35">
        <f>D22+D23</f>
        <v>0</v>
      </c>
      <c r="E21" s="35">
        <f>E22+E23</f>
        <v>0</v>
      </c>
      <c r="F21" s="35">
        <f>F22+F23</f>
        <v>0</v>
      </c>
      <c r="G21" s="35">
        <f>G22+G23</f>
        <v>0</v>
      </c>
      <c r="H21" s="402"/>
      <c r="I21" s="402"/>
    </row>
    <row r="22" spans="1:9" ht="12.75" customHeight="1" hidden="1">
      <c r="A22" s="6"/>
      <c r="B22" s="29">
        <v>2111</v>
      </c>
      <c r="C22" s="30" t="s">
        <v>42</v>
      </c>
      <c r="D22" s="41">
        <f>'2019-3 СВОД'!D1353</f>
        <v>0</v>
      </c>
      <c r="E22" s="41">
        <f>'2019-3 СВОД'!E1353</f>
        <v>0</v>
      </c>
      <c r="F22" s="41">
        <f>'2019-3 СВОД'!F1353</f>
        <v>0</v>
      </c>
      <c r="G22" s="41">
        <f>'2019-3 СВОД'!G1353</f>
        <v>0</v>
      </c>
      <c r="H22" s="402"/>
      <c r="I22" s="402"/>
    </row>
    <row r="23" spans="1:9" ht="12.75" customHeight="1" hidden="1">
      <c r="A23" s="6"/>
      <c r="B23" s="29">
        <v>2112</v>
      </c>
      <c r="C23" s="30" t="s">
        <v>43</v>
      </c>
      <c r="D23" s="41">
        <f>'2019-3 СВОД'!D1354</f>
        <v>0</v>
      </c>
      <c r="E23" s="41">
        <f>'2019-3 СВОД'!E1354</f>
        <v>0</v>
      </c>
      <c r="F23" s="41">
        <f>'2019-3 СВОД'!F1354</f>
        <v>0</v>
      </c>
      <c r="G23" s="41">
        <f>'2019-3 СВОД'!G1354</f>
        <v>0</v>
      </c>
      <c r="H23" s="402"/>
      <c r="I23" s="402"/>
    </row>
    <row r="24" spans="1:9" ht="12.75" customHeight="1" hidden="1">
      <c r="A24" s="6"/>
      <c r="B24" s="29">
        <v>2120</v>
      </c>
      <c r="C24" s="30" t="s">
        <v>44</v>
      </c>
      <c r="D24" s="41">
        <f>'2019-3 СВОД'!D1355</f>
        <v>0</v>
      </c>
      <c r="E24" s="41">
        <f>'2019-3 СВОД'!E1355</f>
        <v>0</v>
      </c>
      <c r="F24" s="41">
        <f>'2019-3 СВОД'!F1355</f>
        <v>0</v>
      </c>
      <c r="G24" s="41">
        <f>'2019-3 СВОД'!G1355</f>
        <v>0</v>
      </c>
      <c r="H24" s="402"/>
      <c r="I24" s="402"/>
    </row>
    <row r="25" spans="1:9" ht="12.75" customHeight="1" hidden="1">
      <c r="A25" s="6"/>
      <c r="B25" s="27">
        <v>2200</v>
      </c>
      <c r="C25" s="28" t="s">
        <v>45</v>
      </c>
      <c r="D25" s="33">
        <f>SUM(D26:D32)+D39</f>
        <v>0</v>
      </c>
      <c r="E25" s="33">
        <f>SUM(E26:E32)+E39</f>
        <v>0</v>
      </c>
      <c r="F25" s="33">
        <f>SUM(F26:F32)+F39</f>
        <v>0</v>
      </c>
      <c r="G25" s="33">
        <f>SUM(G26:G32)+G39</f>
        <v>0</v>
      </c>
      <c r="H25" s="402"/>
      <c r="I25" s="402"/>
    </row>
    <row r="26" spans="1:9" ht="12.75" hidden="1">
      <c r="A26" s="6"/>
      <c r="B26" s="29">
        <v>2210</v>
      </c>
      <c r="C26" s="30" t="s">
        <v>46</v>
      </c>
      <c r="D26" s="41">
        <f>'2019-3 СВОД'!D1357</f>
        <v>0</v>
      </c>
      <c r="E26" s="41">
        <f>'2019-3 СВОД'!E1357</f>
        <v>0</v>
      </c>
      <c r="F26" s="41">
        <f>'2019-3 СВОД'!F1357</f>
        <v>0</v>
      </c>
      <c r="G26" s="41">
        <f>'2019-3 СВОД'!G1357</f>
        <v>0</v>
      </c>
      <c r="H26" s="402"/>
      <c r="I26" s="402"/>
    </row>
    <row r="27" spans="1:9" ht="12.75" customHeight="1" hidden="1">
      <c r="A27" s="6"/>
      <c r="B27" s="29">
        <v>2220</v>
      </c>
      <c r="C27" s="30" t="s">
        <v>47</v>
      </c>
      <c r="D27" s="41">
        <f>'2019-3 СВОД'!D1358</f>
        <v>0</v>
      </c>
      <c r="E27" s="41">
        <f>'2019-3 СВОД'!E1358</f>
        <v>0</v>
      </c>
      <c r="F27" s="41">
        <f>'2019-3 СВОД'!F1358</f>
        <v>0</v>
      </c>
      <c r="G27" s="41">
        <f>'2019-3 СВОД'!G1358</f>
        <v>0</v>
      </c>
      <c r="H27" s="402"/>
      <c r="I27" s="402"/>
    </row>
    <row r="28" spans="1:9" ht="12.75" customHeight="1" hidden="1">
      <c r="A28" s="6"/>
      <c r="B28" s="29">
        <v>2230</v>
      </c>
      <c r="C28" s="30" t="s">
        <v>48</v>
      </c>
      <c r="D28" s="41">
        <f>'2019-3 СВОД'!D1359</f>
        <v>0</v>
      </c>
      <c r="E28" s="41">
        <f>'2019-3 СВОД'!E1359</f>
        <v>0</v>
      </c>
      <c r="F28" s="41">
        <f>'2019-3 СВОД'!F1359</f>
        <v>0</v>
      </c>
      <c r="G28" s="41">
        <f>'2019-3 СВОД'!G1359</f>
        <v>0</v>
      </c>
      <c r="H28" s="402"/>
      <c r="I28" s="402"/>
    </row>
    <row r="29" spans="1:9" ht="12.75" customHeight="1" hidden="1">
      <c r="A29" s="6"/>
      <c r="B29" s="29">
        <v>2240</v>
      </c>
      <c r="C29" s="30" t="s">
        <v>49</v>
      </c>
      <c r="D29" s="41">
        <f>'2019-3 СВОД'!D1360</f>
        <v>0</v>
      </c>
      <c r="E29" s="41">
        <f>'2019-3 СВОД'!E1360</f>
        <v>0</v>
      </c>
      <c r="F29" s="41">
        <f>'2019-3 СВОД'!F1360</f>
        <v>0</v>
      </c>
      <c r="G29" s="41">
        <f>'2019-3 СВОД'!G1360</f>
        <v>0</v>
      </c>
      <c r="H29" s="402"/>
      <c r="I29" s="402"/>
    </row>
    <row r="30" spans="1:9" ht="12.75" customHeight="1" hidden="1">
      <c r="A30" s="6"/>
      <c r="B30" s="29">
        <v>2250</v>
      </c>
      <c r="C30" s="30" t="s">
        <v>50</v>
      </c>
      <c r="D30" s="41">
        <f>'2019-3 СВОД'!D1361</f>
        <v>0</v>
      </c>
      <c r="E30" s="41">
        <f>'2019-3 СВОД'!E1361</f>
        <v>0</v>
      </c>
      <c r="F30" s="41">
        <f>'2019-3 СВОД'!F1361</f>
        <v>0</v>
      </c>
      <c r="G30" s="41">
        <f>'2019-3 СВОД'!G1361</f>
        <v>0</v>
      </c>
      <c r="H30" s="402"/>
      <c r="I30" s="402"/>
    </row>
    <row r="31" spans="1:9" ht="12.75" customHeight="1" hidden="1">
      <c r="A31" s="6"/>
      <c r="B31" s="29">
        <v>2260</v>
      </c>
      <c r="C31" s="30" t="s">
        <v>51</v>
      </c>
      <c r="D31" s="41">
        <f>'2019-3 СВОД'!D1362</f>
        <v>0</v>
      </c>
      <c r="E31" s="41">
        <f>'2019-3 СВОД'!E1362</f>
        <v>0</v>
      </c>
      <c r="F31" s="41">
        <f>'2019-3 СВОД'!F1362</f>
        <v>0</v>
      </c>
      <c r="G31" s="41">
        <f>'2019-3 СВОД'!G1362</f>
        <v>0</v>
      </c>
      <c r="H31" s="402"/>
      <c r="I31" s="402"/>
    </row>
    <row r="32" spans="1:9" ht="12.75" customHeight="1" hidden="1">
      <c r="A32" s="6"/>
      <c r="B32" s="27">
        <v>2270</v>
      </c>
      <c r="C32" s="28" t="s">
        <v>52</v>
      </c>
      <c r="D32" s="33">
        <f>D33+D34+D35+D36+D37+D38</f>
        <v>0</v>
      </c>
      <c r="E32" s="33">
        <f>E33+E34+E35+E36+E37+E38</f>
        <v>0</v>
      </c>
      <c r="F32" s="33">
        <f>F33+F34+F35+F36+F37+F38</f>
        <v>0</v>
      </c>
      <c r="G32" s="33">
        <f>G33+G34+G35+G36+G37+G38</f>
        <v>0</v>
      </c>
      <c r="H32" s="402"/>
      <c r="I32" s="402"/>
    </row>
    <row r="33" spans="1:9" ht="12.75" customHeight="1" hidden="1">
      <c r="A33" s="6"/>
      <c r="B33" s="29">
        <v>2271</v>
      </c>
      <c r="C33" s="30" t="s">
        <v>53</v>
      </c>
      <c r="D33" s="41">
        <f>'2019-3 СВОД'!D1364</f>
        <v>0</v>
      </c>
      <c r="E33" s="41">
        <f>'2019-3 СВОД'!E1364</f>
        <v>0</v>
      </c>
      <c r="F33" s="41">
        <f>'2019-3 СВОД'!F1364</f>
        <v>0</v>
      </c>
      <c r="G33" s="41">
        <f>'2019-3 СВОД'!G1364</f>
        <v>0</v>
      </c>
      <c r="H33" s="402"/>
      <c r="I33" s="402"/>
    </row>
    <row r="34" spans="1:9" ht="12.75" customHeight="1" hidden="1">
      <c r="A34" s="6"/>
      <c r="B34" s="29">
        <v>2272</v>
      </c>
      <c r="C34" s="30" t="s">
        <v>54</v>
      </c>
      <c r="D34" s="41">
        <f>'2019-3 СВОД'!D1365</f>
        <v>0</v>
      </c>
      <c r="E34" s="41">
        <f>'2019-3 СВОД'!E1365</f>
        <v>0</v>
      </c>
      <c r="F34" s="41">
        <f>'2019-3 СВОД'!F1365</f>
        <v>0</v>
      </c>
      <c r="G34" s="41">
        <f>'2019-3 СВОД'!G1365</f>
        <v>0</v>
      </c>
      <c r="H34" s="402"/>
      <c r="I34" s="402"/>
    </row>
    <row r="35" spans="1:9" ht="12.75" customHeight="1" hidden="1">
      <c r="A35" s="6"/>
      <c r="B35" s="29">
        <v>2273</v>
      </c>
      <c r="C35" s="30" t="s">
        <v>55</v>
      </c>
      <c r="D35" s="41">
        <f>'2019-3 СВОД'!D1366</f>
        <v>0</v>
      </c>
      <c r="E35" s="41">
        <f>'2019-3 СВОД'!E1366</f>
        <v>0</v>
      </c>
      <c r="F35" s="41">
        <f>'2019-3 СВОД'!F1366</f>
        <v>0</v>
      </c>
      <c r="G35" s="41">
        <f>'2019-3 СВОД'!G1366</f>
        <v>0</v>
      </c>
      <c r="H35" s="402"/>
      <c r="I35" s="402"/>
    </row>
    <row r="36" spans="1:9" ht="12.75" customHeight="1" hidden="1">
      <c r="A36" s="6"/>
      <c r="B36" s="29">
        <v>2274</v>
      </c>
      <c r="C36" s="30" t="s">
        <v>56</v>
      </c>
      <c r="D36" s="41">
        <f>'2019-3 СВОД'!D1367</f>
        <v>0</v>
      </c>
      <c r="E36" s="41">
        <f>'2019-3 СВОД'!E1367</f>
        <v>0</v>
      </c>
      <c r="F36" s="41">
        <f>'2019-3 СВОД'!F1367</f>
        <v>0</v>
      </c>
      <c r="G36" s="41">
        <f>'2019-3 СВОД'!G1367</f>
        <v>0</v>
      </c>
      <c r="H36" s="402"/>
      <c r="I36" s="402"/>
    </row>
    <row r="37" spans="1:9" ht="12.75" customHeight="1" hidden="1">
      <c r="A37" s="6"/>
      <c r="B37" s="29">
        <v>2275</v>
      </c>
      <c r="C37" s="30" t="s">
        <v>57</v>
      </c>
      <c r="D37" s="41">
        <f>'2019-3 СВОД'!D1368</f>
        <v>0</v>
      </c>
      <c r="E37" s="41">
        <f>'2019-3 СВОД'!E1368</f>
        <v>0</v>
      </c>
      <c r="F37" s="41">
        <f>'2019-3 СВОД'!F1368</f>
        <v>0</v>
      </c>
      <c r="G37" s="41">
        <f>'2019-3 СВОД'!G1368</f>
        <v>0</v>
      </c>
      <c r="H37" s="402"/>
      <c r="I37" s="402"/>
    </row>
    <row r="38" spans="1:9" ht="12.75" customHeight="1" hidden="1">
      <c r="A38" s="6"/>
      <c r="B38" s="31">
        <v>2276</v>
      </c>
      <c r="C38" s="32" t="s">
        <v>58</v>
      </c>
      <c r="D38" s="41">
        <f>'2019-3 СВОД'!D1369</f>
        <v>0</v>
      </c>
      <c r="E38" s="41">
        <f>'2019-3 СВОД'!E1369</f>
        <v>0</v>
      </c>
      <c r="F38" s="41">
        <f>'2019-3 СВОД'!F1369</f>
        <v>0</v>
      </c>
      <c r="G38" s="41">
        <f>'2019-3 СВОД'!G1369</f>
        <v>0</v>
      </c>
      <c r="H38" s="402"/>
      <c r="I38" s="402"/>
    </row>
    <row r="39" spans="1:9" ht="12.75" hidden="1">
      <c r="A39" s="6"/>
      <c r="B39" s="27">
        <v>2280</v>
      </c>
      <c r="C39" s="28" t="s">
        <v>59</v>
      </c>
      <c r="D39" s="33">
        <f>D40+D41</f>
        <v>0</v>
      </c>
      <c r="E39" s="33">
        <f>E40+E41</f>
        <v>0</v>
      </c>
      <c r="F39" s="33">
        <f>F40+F41</f>
        <v>0</v>
      </c>
      <c r="G39" s="33">
        <f>G40+G41</f>
        <v>0</v>
      </c>
      <c r="H39" s="402"/>
      <c r="I39" s="402"/>
    </row>
    <row r="40" spans="1:9" ht="12.75" hidden="1">
      <c r="A40" s="6"/>
      <c r="B40" s="29">
        <v>2281</v>
      </c>
      <c r="C40" s="30" t="s">
        <v>60</v>
      </c>
      <c r="D40" s="41">
        <f>'2019-3 СВОД'!D1371</f>
        <v>0</v>
      </c>
      <c r="E40" s="41">
        <f>'2019-3 СВОД'!E1371</f>
        <v>0</v>
      </c>
      <c r="F40" s="41">
        <f>'2019-3 СВОД'!F1371</f>
        <v>0</v>
      </c>
      <c r="G40" s="41">
        <f>'2019-3 СВОД'!G1371</f>
        <v>0</v>
      </c>
      <c r="H40" s="402"/>
      <c r="I40" s="402"/>
    </row>
    <row r="41" spans="1:9" ht="12.75" hidden="1">
      <c r="A41" s="6"/>
      <c r="B41" s="29">
        <v>2282</v>
      </c>
      <c r="C41" s="30" t="s">
        <v>61</v>
      </c>
      <c r="D41" s="41">
        <f>'2019-3 СВОД'!D1372</f>
        <v>0</v>
      </c>
      <c r="E41" s="41">
        <f>'2019-3 СВОД'!E1372</f>
        <v>0</v>
      </c>
      <c r="F41" s="41">
        <f>'2019-3 СВОД'!F1372</f>
        <v>0</v>
      </c>
      <c r="G41" s="41">
        <f>'2019-3 СВОД'!G1372</f>
        <v>0</v>
      </c>
      <c r="H41" s="402"/>
      <c r="I41" s="402"/>
    </row>
    <row r="42" spans="1:9" ht="12.75" customHeight="1" hidden="1">
      <c r="A42" s="6"/>
      <c r="B42" s="27">
        <v>2400</v>
      </c>
      <c r="C42" s="28" t="s">
        <v>62</v>
      </c>
      <c r="D42" s="34">
        <f>D43+D44</f>
        <v>0</v>
      </c>
      <c r="E42" s="34">
        <f>E43+E44</f>
        <v>0</v>
      </c>
      <c r="F42" s="34">
        <f>F43+F44</f>
        <v>0</v>
      </c>
      <c r="G42" s="34">
        <f>G43+G44</f>
        <v>0</v>
      </c>
      <c r="H42" s="402"/>
      <c r="I42" s="402"/>
    </row>
    <row r="43" spans="1:9" ht="12.75" customHeight="1" hidden="1">
      <c r="A43" s="6"/>
      <c r="B43" s="29">
        <v>2410</v>
      </c>
      <c r="C43" s="30" t="s">
        <v>63</v>
      </c>
      <c r="D43" s="41">
        <f>'2019-3 СВОД'!D1374</f>
        <v>0</v>
      </c>
      <c r="E43" s="41">
        <f>'2019-3 СВОД'!E1374</f>
        <v>0</v>
      </c>
      <c r="F43" s="41">
        <f>'2019-3 СВОД'!F1374</f>
        <v>0</v>
      </c>
      <c r="G43" s="41">
        <f>'2019-3 СВОД'!G1374</f>
        <v>0</v>
      </c>
      <c r="H43" s="402"/>
      <c r="I43" s="402"/>
    </row>
    <row r="44" spans="1:9" ht="12.75" customHeight="1" hidden="1">
      <c r="A44" s="6"/>
      <c r="B44" s="29">
        <v>2420</v>
      </c>
      <c r="C44" s="30" t="s">
        <v>64</v>
      </c>
      <c r="D44" s="41">
        <f>'2019-3 СВОД'!D1375</f>
        <v>0</v>
      </c>
      <c r="E44" s="41">
        <f>'2019-3 СВОД'!E1375</f>
        <v>0</v>
      </c>
      <c r="F44" s="41">
        <f>'2019-3 СВОД'!F1375</f>
        <v>0</v>
      </c>
      <c r="G44" s="41">
        <f>'2019-3 СВОД'!G1375</f>
        <v>0</v>
      </c>
      <c r="H44" s="402"/>
      <c r="I44" s="402"/>
    </row>
    <row r="45" spans="1:9" ht="12.75" customHeight="1" hidden="1">
      <c r="A45" s="6"/>
      <c r="B45" s="27">
        <v>2600</v>
      </c>
      <c r="C45" s="28" t="s">
        <v>65</v>
      </c>
      <c r="D45" s="33">
        <f>D46+D47+D48</f>
        <v>0</v>
      </c>
      <c r="E45" s="33">
        <f>E46+E47+E48</f>
        <v>0</v>
      </c>
      <c r="F45" s="33">
        <f>F46+F47+F48</f>
        <v>0</v>
      </c>
      <c r="G45" s="33">
        <f>G46+G47+G48</f>
        <v>0</v>
      </c>
      <c r="H45" s="402"/>
      <c r="I45" s="402"/>
    </row>
    <row r="46" spans="1:9" ht="12.75" hidden="1">
      <c r="A46" s="6"/>
      <c r="B46" s="29">
        <v>2610</v>
      </c>
      <c r="C46" s="30" t="s">
        <v>66</v>
      </c>
      <c r="D46" s="41">
        <f>'2019-3 СВОД'!D1377</f>
        <v>0</v>
      </c>
      <c r="E46" s="41">
        <f>'2019-3 СВОД'!E1377</f>
        <v>0</v>
      </c>
      <c r="F46" s="41">
        <f>'2019-3 СВОД'!F1377</f>
        <v>0</v>
      </c>
      <c r="G46" s="41">
        <f>'2019-3 СВОД'!G1377</f>
        <v>0</v>
      </c>
      <c r="H46" s="402"/>
      <c r="I46" s="402"/>
    </row>
    <row r="47" spans="1:9" ht="12.75" customHeight="1" hidden="1">
      <c r="A47" s="6"/>
      <c r="B47" s="29">
        <v>2620</v>
      </c>
      <c r="C47" s="30" t="s">
        <v>67</v>
      </c>
      <c r="D47" s="41">
        <f>'2019-3 СВОД'!D1378</f>
        <v>0</v>
      </c>
      <c r="E47" s="41">
        <f>'2019-3 СВОД'!E1378</f>
        <v>0</v>
      </c>
      <c r="F47" s="41">
        <f>'2019-3 СВОД'!F1378</f>
        <v>0</v>
      </c>
      <c r="G47" s="41">
        <f>'2019-3 СВОД'!G1378</f>
        <v>0</v>
      </c>
      <c r="H47" s="402"/>
      <c r="I47" s="402"/>
    </row>
    <row r="48" spans="1:9" ht="12.75" hidden="1">
      <c r="A48" s="6"/>
      <c r="B48" s="29">
        <v>2630</v>
      </c>
      <c r="C48" s="30" t="s">
        <v>68</v>
      </c>
      <c r="D48" s="41">
        <f>'2019-3 СВОД'!D1379</f>
        <v>0</v>
      </c>
      <c r="E48" s="41">
        <f>'2019-3 СВОД'!E1379</f>
        <v>0</v>
      </c>
      <c r="F48" s="41">
        <f>'2019-3 СВОД'!F1379</f>
        <v>0</v>
      </c>
      <c r="G48" s="41">
        <f>'2019-3 СВОД'!G1379</f>
        <v>0</v>
      </c>
      <c r="H48" s="402"/>
      <c r="I48" s="402"/>
    </row>
    <row r="49" spans="1:9" ht="12.75" customHeight="1" hidden="1">
      <c r="A49" s="6"/>
      <c r="B49" s="27">
        <v>2700</v>
      </c>
      <c r="C49" s="28" t="s">
        <v>69</v>
      </c>
      <c r="D49" s="33">
        <f>D50+D51+D52</f>
        <v>0</v>
      </c>
      <c r="E49" s="33">
        <f>E50+E51+E52</f>
        <v>0</v>
      </c>
      <c r="F49" s="33">
        <f>F50+F51+F52</f>
        <v>0</v>
      </c>
      <c r="G49" s="33">
        <f>G50+G51+G52</f>
        <v>0</v>
      </c>
      <c r="H49" s="402"/>
      <c r="I49" s="402"/>
    </row>
    <row r="50" spans="1:9" ht="12.75" customHeight="1" hidden="1">
      <c r="A50" s="6"/>
      <c r="B50" s="29">
        <v>2710</v>
      </c>
      <c r="C50" s="30" t="s">
        <v>70</v>
      </c>
      <c r="D50" s="41">
        <f>'2019-3 СВОД'!D1381</f>
        <v>0</v>
      </c>
      <c r="E50" s="41">
        <f>'2019-3 СВОД'!E1381</f>
        <v>0</v>
      </c>
      <c r="F50" s="41">
        <f>'2019-3 СВОД'!F1381</f>
        <v>0</v>
      </c>
      <c r="G50" s="41">
        <f>'2019-3 СВОД'!G1381</f>
        <v>0</v>
      </c>
      <c r="H50" s="402"/>
      <c r="I50" s="402"/>
    </row>
    <row r="51" spans="1:9" ht="12.75" customHeight="1" hidden="1">
      <c r="A51" s="6"/>
      <c r="B51" s="29">
        <v>2720</v>
      </c>
      <c r="C51" s="30" t="s">
        <v>71</v>
      </c>
      <c r="D51" s="41">
        <f>'2019-3 СВОД'!D1382</f>
        <v>0</v>
      </c>
      <c r="E51" s="41">
        <f>'2019-3 СВОД'!E1382</f>
        <v>0</v>
      </c>
      <c r="F51" s="41">
        <f>'2019-3 СВОД'!F1382</f>
        <v>0</v>
      </c>
      <c r="G51" s="41">
        <f>'2019-3 СВОД'!G1382</f>
        <v>0</v>
      </c>
      <c r="H51" s="402"/>
      <c r="I51" s="402"/>
    </row>
    <row r="52" spans="1:9" ht="12.75" customHeight="1" hidden="1">
      <c r="A52" s="6"/>
      <c r="B52" s="29">
        <v>2730</v>
      </c>
      <c r="C52" s="30" t="s">
        <v>72</v>
      </c>
      <c r="D52" s="41">
        <f>'2019-3 СВОД'!D1383</f>
        <v>0</v>
      </c>
      <c r="E52" s="41">
        <f>'2019-3 СВОД'!E1383</f>
        <v>0</v>
      </c>
      <c r="F52" s="41">
        <f>'2019-3 СВОД'!F1383</f>
        <v>0</v>
      </c>
      <c r="G52" s="41">
        <f>'2019-3 СВОД'!G1383</f>
        <v>0</v>
      </c>
      <c r="H52" s="402"/>
      <c r="I52" s="402"/>
    </row>
    <row r="53" spans="1:9" ht="12.75" customHeight="1" hidden="1">
      <c r="A53" s="6"/>
      <c r="B53" s="27">
        <v>2800</v>
      </c>
      <c r="C53" s="28" t="s">
        <v>73</v>
      </c>
      <c r="D53" s="41">
        <f>'2019-3 СВОД'!D1384</f>
        <v>0</v>
      </c>
      <c r="E53" s="41">
        <f>'2019-3 СВОД'!E1384</f>
        <v>0</v>
      </c>
      <c r="F53" s="41">
        <f>'2019-3 СВОД'!F1384</f>
        <v>0</v>
      </c>
      <c r="G53" s="41">
        <f>'2019-3 СВОД'!G1384</f>
        <v>0</v>
      </c>
      <c r="H53" s="402"/>
      <c r="I53" s="402"/>
    </row>
    <row r="54" spans="1:9" ht="12.75">
      <c r="A54" s="21"/>
      <c r="B54" s="27">
        <v>3000</v>
      </c>
      <c r="C54" s="28" t="s">
        <v>40</v>
      </c>
      <c r="D54" s="40">
        <f>D55+D69</f>
        <v>0</v>
      </c>
      <c r="E54" s="40">
        <f>E55+E69</f>
        <v>6972.3</v>
      </c>
      <c r="F54" s="40">
        <f>F55+F69</f>
        <v>0</v>
      </c>
      <c r="G54" s="40">
        <f>G55+G69</f>
        <v>2000</v>
      </c>
      <c r="H54" s="403" t="s">
        <v>609</v>
      </c>
      <c r="I54" s="404"/>
    </row>
    <row r="55" spans="1:9" ht="12.75">
      <c r="A55" s="21"/>
      <c r="B55" s="27">
        <v>3100</v>
      </c>
      <c r="C55" s="28" t="s">
        <v>41</v>
      </c>
      <c r="D55" s="40">
        <f>D56+D57+D60+D63+D67+D68+D69</f>
        <v>0</v>
      </c>
      <c r="E55" s="40">
        <f>E56+E57+E60+E63+E67+E68+E69</f>
        <v>6972.3</v>
      </c>
      <c r="F55" s="40">
        <f>F56+F57+F60+F63+F67+F68+F69</f>
        <v>0</v>
      </c>
      <c r="G55" s="40">
        <f>G56+G57+G60+G63+G67+G68+G69</f>
        <v>2000</v>
      </c>
      <c r="H55" s="405"/>
      <c r="I55" s="406"/>
    </row>
    <row r="56" spans="1:9" ht="12.75" customHeight="1" hidden="1">
      <c r="A56" s="21"/>
      <c r="B56" s="29">
        <v>3110</v>
      </c>
      <c r="C56" s="30" t="s">
        <v>74</v>
      </c>
      <c r="D56" s="41">
        <f>'2019-3 СВОД'!D1387</f>
        <v>0</v>
      </c>
      <c r="E56" s="41">
        <f>'2019-3 СВОД'!E1387</f>
        <v>0</v>
      </c>
      <c r="F56" s="41">
        <f>'2019-3 СВОД'!F1387</f>
        <v>0</v>
      </c>
      <c r="G56" s="41">
        <f>'2019-3 СВОД'!G1387</f>
        <v>0</v>
      </c>
      <c r="H56" s="405"/>
      <c r="I56" s="406"/>
    </row>
    <row r="57" spans="1:9" ht="12.75">
      <c r="A57" s="21"/>
      <c r="B57" s="29">
        <v>3120</v>
      </c>
      <c r="C57" s="30" t="s">
        <v>75</v>
      </c>
      <c r="D57" s="40">
        <f>D58+D59</f>
        <v>0</v>
      </c>
      <c r="E57" s="40">
        <f>E58+E59</f>
        <v>6972.3</v>
      </c>
      <c r="F57" s="40">
        <f>F58+F59</f>
        <v>0</v>
      </c>
      <c r="G57" s="40">
        <f>G58+G59</f>
        <v>2000</v>
      </c>
      <c r="H57" s="405"/>
      <c r="I57" s="406"/>
    </row>
    <row r="58" spans="1:9" ht="12.75" customHeight="1" hidden="1">
      <c r="A58" s="21"/>
      <c r="B58" s="29">
        <v>3121</v>
      </c>
      <c r="C58" s="30" t="s">
        <v>76</v>
      </c>
      <c r="D58" s="41">
        <f>'2019-3 СВОД'!D1389</f>
        <v>0</v>
      </c>
      <c r="E58" s="41">
        <f>'2019-3 СВОД'!E1389</f>
        <v>0</v>
      </c>
      <c r="F58" s="41">
        <f>'2019-3 СВОД'!F1389</f>
        <v>0</v>
      </c>
      <c r="G58" s="41">
        <f>'2019-3 СВОД'!G1389</f>
        <v>0</v>
      </c>
      <c r="H58" s="405"/>
      <c r="I58" s="406"/>
    </row>
    <row r="59" spans="1:9" ht="12.75">
      <c r="A59" s="21"/>
      <c r="B59" s="29">
        <v>3122</v>
      </c>
      <c r="C59" s="30" t="s">
        <v>77</v>
      </c>
      <c r="D59" s="41">
        <f>'2019-3 СВОД'!D1390</f>
        <v>0</v>
      </c>
      <c r="E59" s="41">
        <f>'2019-3 СВОД'!E1390</f>
        <v>6972.3</v>
      </c>
      <c r="F59" s="41">
        <f>'2019-3 СВОД'!F1390</f>
        <v>0</v>
      </c>
      <c r="G59" s="41">
        <f>'2019-3 СВОД'!G1390</f>
        <v>2000</v>
      </c>
      <c r="H59" s="407"/>
      <c r="I59" s="408"/>
    </row>
    <row r="60" spans="1:9" ht="12.75" hidden="1">
      <c r="A60" s="21"/>
      <c r="B60" s="29">
        <v>3130</v>
      </c>
      <c r="C60" s="30" t="s">
        <v>78</v>
      </c>
      <c r="D60" s="40">
        <f>D61+D62</f>
        <v>0</v>
      </c>
      <c r="E60" s="40">
        <f>E61+E62</f>
        <v>0</v>
      </c>
      <c r="F60" s="40">
        <f>F61+F62</f>
        <v>0</v>
      </c>
      <c r="G60" s="40">
        <f>G61+G62</f>
        <v>0</v>
      </c>
      <c r="H60" s="402"/>
      <c r="I60" s="402"/>
    </row>
    <row r="61" spans="1:9" ht="12.75" hidden="1">
      <c r="A61" s="21"/>
      <c r="B61" s="29">
        <v>3131</v>
      </c>
      <c r="C61" s="30" t="s">
        <v>79</v>
      </c>
      <c r="D61" s="41">
        <f>'2019-3 СВОД'!D1392</f>
        <v>0</v>
      </c>
      <c r="E61" s="41">
        <f>'2019-3 СВОД'!E1392</f>
        <v>0</v>
      </c>
      <c r="F61" s="41">
        <f>'2019-3 СВОД'!F1392</f>
        <v>0</v>
      </c>
      <c r="G61" s="41">
        <f>'2019-3 СВОД'!G1392</f>
        <v>0</v>
      </c>
      <c r="H61" s="402"/>
      <c r="I61" s="402"/>
    </row>
    <row r="62" spans="1:9" ht="12.75" hidden="1">
      <c r="A62" s="21"/>
      <c r="B62" s="29">
        <v>3132</v>
      </c>
      <c r="C62" s="30" t="s">
        <v>80</v>
      </c>
      <c r="D62" s="41">
        <f>'2019-3 СВОД'!D1393</f>
        <v>0</v>
      </c>
      <c r="E62" s="41">
        <f>'2019-3 СВОД'!E1393</f>
        <v>0</v>
      </c>
      <c r="F62" s="41">
        <f>'2019-3 СВОД'!F1393</f>
        <v>0</v>
      </c>
      <c r="G62" s="41">
        <f>'2019-3 СВОД'!G1393</f>
        <v>0</v>
      </c>
      <c r="H62" s="402"/>
      <c r="I62" s="402"/>
    </row>
    <row r="63" spans="1:9" ht="12.75" hidden="1">
      <c r="A63" s="21"/>
      <c r="B63" s="29">
        <v>3140</v>
      </c>
      <c r="C63" s="30" t="s">
        <v>81</v>
      </c>
      <c r="D63" s="40">
        <f>D64+D65+D66</f>
        <v>0</v>
      </c>
      <c r="E63" s="40">
        <f>E64+E65+E66</f>
        <v>0</v>
      </c>
      <c r="F63" s="40">
        <f>F64+F65+F66</f>
        <v>0</v>
      </c>
      <c r="G63" s="40">
        <f>G64+G65+G66</f>
        <v>0</v>
      </c>
      <c r="H63" s="402"/>
      <c r="I63" s="402"/>
    </row>
    <row r="64" spans="1:9" ht="12.75" hidden="1">
      <c r="A64" s="21"/>
      <c r="B64" s="29">
        <v>3141</v>
      </c>
      <c r="C64" s="30" t="s">
        <v>82</v>
      </c>
      <c r="D64" s="41">
        <f>'2019-3 СВОД'!D1395</f>
        <v>0</v>
      </c>
      <c r="E64" s="41">
        <f>'2019-3 СВОД'!E1395</f>
        <v>0</v>
      </c>
      <c r="F64" s="41">
        <f>'2019-3 СВОД'!F1395</f>
        <v>0</v>
      </c>
      <c r="G64" s="41">
        <f>'2019-3 СВОД'!G1395</f>
        <v>0</v>
      </c>
      <c r="H64" s="402"/>
      <c r="I64" s="402"/>
    </row>
    <row r="65" spans="1:9" ht="12.75" hidden="1">
      <c r="A65" s="21"/>
      <c r="B65" s="29">
        <v>3142</v>
      </c>
      <c r="C65" s="30" t="s">
        <v>83</v>
      </c>
      <c r="D65" s="41">
        <f>'2019-3 СВОД'!D1396</f>
        <v>0</v>
      </c>
      <c r="E65" s="41">
        <f>'2019-3 СВОД'!E1396</f>
        <v>0</v>
      </c>
      <c r="F65" s="41">
        <f>'2019-3 СВОД'!F1396</f>
        <v>0</v>
      </c>
      <c r="G65" s="41">
        <f>'2019-3 СВОД'!G1396</f>
        <v>0</v>
      </c>
      <c r="H65" s="402"/>
      <c r="I65" s="402"/>
    </row>
    <row r="66" spans="1:9" ht="12.75" hidden="1">
      <c r="A66" s="21"/>
      <c r="B66" s="29">
        <v>3143</v>
      </c>
      <c r="C66" s="30" t="s">
        <v>84</v>
      </c>
      <c r="D66" s="41">
        <f>'2019-3 СВОД'!D1397</f>
        <v>0</v>
      </c>
      <c r="E66" s="41">
        <f>'2019-3 СВОД'!E1397</f>
        <v>0</v>
      </c>
      <c r="F66" s="41">
        <f>'2019-3 СВОД'!F1397</f>
        <v>0</v>
      </c>
      <c r="G66" s="41">
        <f>'2019-3 СВОД'!G1397</f>
        <v>0</v>
      </c>
      <c r="H66" s="402"/>
      <c r="I66" s="402"/>
    </row>
    <row r="67" spans="1:9" ht="12.75" hidden="1">
      <c r="A67" s="21"/>
      <c r="B67" s="29">
        <v>3150</v>
      </c>
      <c r="C67" s="30" t="s">
        <v>85</v>
      </c>
      <c r="D67" s="41">
        <f>'2019-3 СВОД'!D1398</f>
        <v>0</v>
      </c>
      <c r="E67" s="41">
        <f>'2019-3 СВОД'!E1398</f>
        <v>0</v>
      </c>
      <c r="F67" s="41">
        <f>'2019-3 СВОД'!F1398</f>
        <v>0</v>
      </c>
      <c r="G67" s="41">
        <f>'2019-3 СВОД'!G1398</f>
        <v>0</v>
      </c>
      <c r="H67" s="402"/>
      <c r="I67" s="402"/>
    </row>
    <row r="68" spans="1:9" ht="12.75" hidden="1">
      <c r="A68" s="21"/>
      <c r="B68" s="29">
        <v>3160</v>
      </c>
      <c r="C68" s="30" t="s">
        <v>86</v>
      </c>
      <c r="D68" s="41">
        <f>'2019-3 СВОД'!D1399</f>
        <v>0</v>
      </c>
      <c r="E68" s="41">
        <f>'2019-3 СВОД'!E1399</f>
        <v>0</v>
      </c>
      <c r="F68" s="41">
        <f>'2019-3 СВОД'!F1399</f>
        <v>0</v>
      </c>
      <c r="G68" s="41">
        <f>'2019-3 СВОД'!G1399</f>
        <v>0</v>
      </c>
      <c r="H68" s="402"/>
      <c r="I68" s="402"/>
    </row>
    <row r="69" spans="1:9" ht="12.75" hidden="1">
      <c r="A69" s="21"/>
      <c r="B69" s="27">
        <v>3200</v>
      </c>
      <c r="C69" s="28" t="s">
        <v>87</v>
      </c>
      <c r="D69" s="40">
        <f>D70+D71+D72+D73</f>
        <v>0</v>
      </c>
      <c r="E69" s="40">
        <f>E70+E71+E72+E73</f>
        <v>0</v>
      </c>
      <c r="F69" s="40">
        <f>F70+F71+F72+F73</f>
        <v>0</v>
      </c>
      <c r="G69" s="40">
        <f>G70+G71+G72+G73</f>
        <v>0</v>
      </c>
      <c r="H69" s="402"/>
      <c r="I69" s="402"/>
    </row>
    <row r="70" spans="1:9" ht="12.75" hidden="1">
      <c r="A70" s="21"/>
      <c r="B70" s="29">
        <v>3210</v>
      </c>
      <c r="C70" s="30" t="s">
        <v>88</v>
      </c>
      <c r="D70" s="41">
        <f>'2019-3 СВОД'!D1401</f>
        <v>0</v>
      </c>
      <c r="E70" s="41">
        <f>'2019-3 СВОД'!E1401</f>
        <v>0</v>
      </c>
      <c r="F70" s="41">
        <f>'2019-3 СВОД'!F1401</f>
        <v>0</v>
      </c>
      <c r="G70" s="41">
        <f>'2019-3 СВОД'!G1401</f>
        <v>0</v>
      </c>
      <c r="H70" s="402"/>
      <c r="I70" s="402"/>
    </row>
    <row r="71" spans="1:9" ht="12.75" hidden="1">
      <c r="A71" s="21"/>
      <c r="B71" s="29">
        <v>3220</v>
      </c>
      <c r="C71" s="30" t="s">
        <v>89</v>
      </c>
      <c r="D71" s="41">
        <f>'2019-3 СВОД'!D1402</f>
        <v>0</v>
      </c>
      <c r="E71" s="41">
        <f>'2019-3 СВОД'!E1402</f>
        <v>0</v>
      </c>
      <c r="F71" s="41">
        <f>'2019-3 СВОД'!F1402</f>
        <v>0</v>
      </c>
      <c r="G71" s="41">
        <f>'2019-3 СВОД'!G1402</f>
        <v>0</v>
      </c>
      <c r="H71" s="402"/>
      <c r="I71" s="402"/>
    </row>
    <row r="72" spans="1:9" ht="12.75" hidden="1">
      <c r="A72" s="21"/>
      <c r="B72" s="29">
        <v>3230</v>
      </c>
      <c r="C72" s="30" t="s">
        <v>90</v>
      </c>
      <c r="D72" s="41">
        <f>'2019-3 СВОД'!D1403</f>
        <v>0</v>
      </c>
      <c r="E72" s="41">
        <f>'2019-3 СВОД'!E1403</f>
        <v>0</v>
      </c>
      <c r="F72" s="41">
        <f>'2019-3 СВОД'!F1403</f>
        <v>0</v>
      </c>
      <c r="G72" s="41">
        <f>'2019-3 СВОД'!G1403</f>
        <v>0</v>
      </c>
      <c r="H72" s="402"/>
      <c r="I72" s="402"/>
    </row>
    <row r="73" spans="1:9" ht="13.5" customHeight="1" hidden="1">
      <c r="A73" s="21"/>
      <c r="B73" s="29">
        <v>3240</v>
      </c>
      <c r="C73" s="30" t="s">
        <v>91</v>
      </c>
      <c r="D73" s="41">
        <f>'2019-3 СВОД'!D1404</f>
        <v>0</v>
      </c>
      <c r="E73" s="41">
        <f>'2019-3 СВОД'!E1404</f>
        <v>0</v>
      </c>
      <c r="F73" s="41">
        <f>'2019-3 СВОД'!F1404</f>
        <v>0</v>
      </c>
      <c r="G73" s="41">
        <f>'2019-3 СВОД'!G1404</f>
        <v>0</v>
      </c>
      <c r="H73" s="402"/>
      <c r="I73" s="402"/>
    </row>
    <row r="74" spans="1:9" s="19" customFormat="1" ht="13.5" customHeight="1">
      <c r="A74" s="7"/>
      <c r="B74" s="7"/>
      <c r="C74" s="20" t="s">
        <v>3</v>
      </c>
      <c r="D74" s="34">
        <f>D19+D54</f>
        <v>0</v>
      </c>
      <c r="E74" s="34">
        <f>E19+E54</f>
        <v>6972.3</v>
      </c>
      <c r="F74" s="34">
        <f>F19+F54</f>
        <v>0</v>
      </c>
      <c r="G74" s="34">
        <f>G19+G54</f>
        <v>2000</v>
      </c>
      <c r="H74" s="402"/>
      <c r="I74" s="402"/>
    </row>
    <row r="75" spans="1:8" ht="15">
      <c r="A75" s="115" t="s">
        <v>209</v>
      </c>
      <c r="B75" s="115" t="s">
        <v>209</v>
      </c>
      <c r="C75" s="115"/>
      <c r="D75" s="115"/>
      <c r="E75" s="115"/>
      <c r="F75" s="115"/>
      <c r="G75" s="115"/>
      <c r="H75" s="121"/>
    </row>
    <row r="76" spans="1:9" ht="15" customHeight="1">
      <c r="A76" s="444" t="s">
        <v>25</v>
      </c>
      <c r="B76" s="444"/>
      <c r="C76" s="444"/>
      <c r="D76" s="444"/>
      <c r="E76" s="444"/>
      <c r="F76" s="444"/>
      <c r="G76" s="444"/>
      <c r="H76" s="444"/>
      <c r="I76" s="444"/>
    </row>
    <row r="77" spans="1:9" ht="30" customHeight="1">
      <c r="A77" s="14" t="s">
        <v>20</v>
      </c>
      <c r="B77" s="8" t="s">
        <v>0</v>
      </c>
      <c r="C77" s="14" t="s">
        <v>1</v>
      </c>
      <c r="D77" s="14" t="s">
        <v>14</v>
      </c>
      <c r="E77" s="441" t="s">
        <v>15</v>
      </c>
      <c r="F77" s="441"/>
      <c r="G77" s="441"/>
      <c r="H77" s="14" t="s">
        <v>214</v>
      </c>
      <c r="I77" s="14" t="s">
        <v>215</v>
      </c>
    </row>
    <row r="78" spans="1:9" ht="13.5" thickBot="1">
      <c r="A78" s="17">
        <v>1</v>
      </c>
      <c r="B78" s="17">
        <v>1</v>
      </c>
      <c r="C78" s="38">
        <v>2</v>
      </c>
      <c r="D78" s="38">
        <v>3</v>
      </c>
      <c r="E78" s="427">
        <v>4</v>
      </c>
      <c r="F78" s="427"/>
      <c r="G78" s="427"/>
      <c r="H78" s="38">
        <v>5</v>
      </c>
      <c r="I78" s="38">
        <v>6</v>
      </c>
    </row>
    <row r="79" spans="1:9" s="55" customFormat="1" ht="13.5" thickTop="1">
      <c r="A79" s="54"/>
      <c r="B79" s="167">
        <f>B17</f>
        <v>1116080</v>
      </c>
      <c r="C79" s="169" t="str">
        <f>C17</f>
        <v>Програма Реалізація державних та місцевих житлових програм</v>
      </c>
      <c r="D79" s="180"/>
      <c r="E79" s="451"/>
      <c r="F79" s="451"/>
      <c r="G79" s="451"/>
      <c r="H79" s="180"/>
      <c r="I79" s="180"/>
    </row>
    <row r="80" spans="1:9" s="153" customFormat="1" ht="26.25">
      <c r="A80" s="68"/>
      <c r="B80" s="69">
        <f>B18</f>
        <v>1116082</v>
      </c>
      <c r="C80" s="213" t="str">
        <f>C18</f>
        <v>Підпрограма Придбання житла для окремих категорій населення відповідно до законодавства</v>
      </c>
      <c r="D80" s="214"/>
      <c r="E80" s="214"/>
      <c r="F80" s="214"/>
      <c r="G80" s="214"/>
      <c r="H80" s="214"/>
      <c r="I80" s="181"/>
    </row>
    <row r="81" spans="1:9" s="153" customFormat="1" ht="12.75">
      <c r="A81" s="68"/>
      <c r="B81" s="223"/>
      <c r="C81" s="556" t="s">
        <v>373</v>
      </c>
      <c r="D81" s="557"/>
      <c r="E81" s="557"/>
      <c r="F81" s="557"/>
      <c r="G81" s="456"/>
      <c r="H81" s="456"/>
      <c r="I81" s="457"/>
    </row>
    <row r="82" spans="1:9" s="78" customFormat="1" ht="12.75">
      <c r="A82" s="175"/>
      <c r="B82" s="224"/>
      <c r="C82" s="217" t="s">
        <v>342</v>
      </c>
      <c r="D82" s="218"/>
      <c r="E82" s="558"/>
      <c r="F82" s="559"/>
      <c r="G82" s="559"/>
      <c r="H82" s="215"/>
      <c r="I82" s="216"/>
    </row>
    <row r="83" spans="1:9" s="78" customFormat="1" ht="12.75">
      <c r="A83" s="175"/>
      <c r="B83" s="224" t="s">
        <v>353</v>
      </c>
      <c r="C83" s="219" t="s">
        <v>369</v>
      </c>
      <c r="D83" s="220" t="s">
        <v>344</v>
      </c>
      <c r="E83" s="555" t="s">
        <v>477</v>
      </c>
      <c r="F83" s="555"/>
      <c r="G83" s="555"/>
      <c r="H83" s="215"/>
      <c r="I83" s="221">
        <v>2000</v>
      </c>
    </row>
    <row r="84" spans="1:9" s="78" customFormat="1" ht="12.75">
      <c r="A84" s="175"/>
      <c r="B84" s="224"/>
      <c r="C84" s="217" t="s">
        <v>345</v>
      </c>
      <c r="D84" s="218"/>
      <c r="E84" s="554"/>
      <c r="F84" s="554"/>
      <c r="G84" s="554"/>
      <c r="H84" s="215"/>
      <c r="I84" s="218"/>
    </row>
    <row r="85" spans="1:9" s="78" customFormat="1" ht="12.75">
      <c r="A85" s="175"/>
      <c r="B85" s="224" t="s">
        <v>354</v>
      </c>
      <c r="C85" s="219" t="s">
        <v>370</v>
      </c>
      <c r="D85" s="220" t="s">
        <v>347</v>
      </c>
      <c r="E85" s="555" t="s">
        <v>477</v>
      </c>
      <c r="F85" s="555"/>
      <c r="G85" s="555"/>
      <c r="H85" s="215"/>
      <c r="I85" s="220">
        <v>10</v>
      </c>
    </row>
    <row r="86" spans="1:9" s="78" customFormat="1" ht="12.75">
      <c r="A86" s="175"/>
      <c r="B86" s="224"/>
      <c r="C86" s="217" t="s">
        <v>348</v>
      </c>
      <c r="D86" s="218"/>
      <c r="E86" s="554"/>
      <c r="F86" s="554"/>
      <c r="G86" s="554"/>
      <c r="H86" s="215"/>
      <c r="I86" s="218"/>
    </row>
    <row r="87" spans="1:9" s="78" customFormat="1" ht="12.75">
      <c r="A87" s="175"/>
      <c r="B87" s="224" t="s">
        <v>355</v>
      </c>
      <c r="C87" s="219" t="s">
        <v>371</v>
      </c>
      <c r="D87" s="220" t="s">
        <v>344</v>
      </c>
      <c r="E87" s="555" t="s">
        <v>350</v>
      </c>
      <c r="F87" s="555"/>
      <c r="G87" s="555"/>
      <c r="H87" s="190"/>
      <c r="I87" s="221">
        <v>400</v>
      </c>
    </row>
    <row r="88" spans="1:9" s="78" customFormat="1" ht="12.75">
      <c r="A88" s="175"/>
      <c r="B88" s="224"/>
      <c r="C88" s="217" t="s">
        <v>351</v>
      </c>
      <c r="D88" s="220"/>
      <c r="E88" s="555"/>
      <c r="F88" s="555"/>
      <c r="G88" s="555"/>
      <c r="H88" s="190"/>
      <c r="I88" s="220"/>
    </row>
    <row r="89" spans="1:9" s="78" customFormat="1" ht="12.75">
      <c r="A89" s="175"/>
      <c r="B89" s="224" t="s">
        <v>356</v>
      </c>
      <c r="C89" s="222" t="s">
        <v>372</v>
      </c>
      <c r="D89" s="220" t="s">
        <v>123</v>
      </c>
      <c r="E89" s="555" t="s">
        <v>350</v>
      </c>
      <c r="F89" s="555"/>
      <c r="G89" s="555"/>
      <c r="H89" s="190"/>
      <c r="I89" s="220">
        <v>100</v>
      </c>
    </row>
    <row r="90" ht="12.75">
      <c r="A90" s="22"/>
    </row>
    <row r="91" spans="1:9" ht="30.75" customHeight="1">
      <c r="A91" s="444" t="s">
        <v>27</v>
      </c>
      <c r="B91" s="444"/>
      <c r="C91" s="444"/>
      <c r="D91" s="444"/>
      <c r="E91" s="444"/>
      <c r="F91" s="444"/>
      <c r="G91" s="444"/>
      <c r="H91" s="444"/>
      <c r="I91" s="444"/>
    </row>
    <row r="92" spans="1:9" ht="15">
      <c r="A92" s="446"/>
      <c r="B92" s="446"/>
      <c r="C92" s="446"/>
      <c r="D92" s="446"/>
      <c r="E92" s="446"/>
      <c r="F92" s="446"/>
      <c r="G92" s="446"/>
      <c r="H92" s="446"/>
      <c r="I92" s="446"/>
    </row>
    <row r="93" spans="1:9" ht="15">
      <c r="A93" s="446"/>
      <c r="B93" s="446"/>
      <c r="C93" s="446"/>
      <c r="D93" s="446"/>
      <c r="E93" s="446"/>
      <c r="F93" s="446"/>
      <c r="G93" s="446"/>
      <c r="H93" s="446"/>
      <c r="I93" s="446"/>
    </row>
    <row r="94" spans="1:9" ht="15">
      <c r="A94" s="442" t="s">
        <v>210</v>
      </c>
      <c r="B94" s="442"/>
      <c r="C94" s="442"/>
      <c r="D94" s="442"/>
      <c r="E94" s="442"/>
      <c r="F94" s="442"/>
      <c r="G94" s="442"/>
      <c r="H94" s="442"/>
      <c r="I94" s="442"/>
    </row>
    <row r="95" ht="12.75">
      <c r="I95" s="2" t="s">
        <v>4</v>
      </c>
    </row>
    <row r="96" spans="1:9" s="19" customFormat="1" ht="12.75">
      <c r="A96" s="443" t="s">
        <v>3</v>
      </c>
      <c r="B96" s="443"/>
      <c r="C96" s="23"/>
      <c r="D96" s="18"/>
      <c r="E96" s="18"/>
      <c r="F96" s="18"/>
      <c r="G96" s="18"/>
      <c r="H96" s="443"/>
      <c r="I96" s="443"/>
    </row>
    <row r="97" ht="12.75">
      <c r="A97" s="3"/>
    </row>
    <row r="98" spans="1:9" ht="30.75" customHeight="1">
      <c r="A98" s="444" t="s">
        <v>211</v>
      </c>
      <c r="B98" s="444"/>
      <c r="C98" s="444"/>
      <c r="D98" s="444"/>
      <c r="E98" s="444"/>
      <c r="F98" s="444"/>
      <c r="G98" s="444"/>
      <c r="H98" s="444"/>
      <c r="I98" s="444"/>
    </row>
    <row r="99" ht="12.75">
      <c r="I99" s="2" t="s">
        <v>4</v>
      </c>
    </row>
    <row r="100" spans="1:9" ht="36.75" customHeight="1">
      <c r="A100" s="441" t="s">
        <v>23</v>
      </c>
      <c r="B100" s="441"/>
      <c r="C100" s="441" t="s">
        <v>1</v>
      </c>
      <c r="D100" s="441" t="s">
        <v>7</v>
      </c>
      <c r="E100" s="441"/>
      <c r="F100" s="441" t="s">
        <v>178</v>
      </c>
      <c r="G100" s="441"/>
      <c r="H100" s="441" t="s">
        <v>212</v>
      </c>
      <c r="I100" s="441"/>
    </row>
    <row r="101" spans="1:9" ht="36" customHeight="1">
      <c r="A101" s="441"/>
      <c r="B101" s="441"/>
      <c r="C101" s="441"/>
      <c r="D101" s="14" t="s">
        <v>28</v>
      </c>
      <c r="E101" s="14" t="s">
        <v>36</v>
      </c>
      <c r="F101" s="14" t="s">
        <v>28</v>
      </c>
      <c r="G101" s="14" t="s">
        <v>36</v>
      </c>
      <c r="H101" s="441"/>
      <c r="I101" s="441"/>
    </row>
    <row r="102" spans="1:9" ht="13.5" thickBot="1">
      <c r="A102" s="445">
        <v>1</v>
      </c>
      <c r="B102" s="445"/>
      <c r="C102" s="17">
        <v>2</v>
      </c>
      <c r="D102" s="16">
        <v>3</v>
      </c>
      <c r="E102" s="16">
        <v>4</v>
      </c>
      <c r="F102" s="16">
        <v>5</v>
      </c>
      <c r="G102" s="16">
        <v>6</v>
      </c>
      <c r="H102" s="445">
        <v>7</v>
      </c>
      <c r="I102" s="445"/>
    </row>
    <row r="103" spans="1:9" ht="13.5" thickTop="1">
      <c r="A103" s="447"/>
      <c r="B103" s="447"/>
      <c r="C103" s="15"/>
      <c r="D103" s="25"/>
      <c r="E103" s="25"/>
      <c r="F103" s="25"/>
      <c r="G103" s="25"/>
      <c r="H103" s="440"/>
      <c r="I103" s="440"/>
    </row>
    <row r="104" spans="1:9" ht="12.75">
      <c r="A104" s="402"/>
      <c r="B104" s="402"/>
      <c r="C104" s="12"/>
      <c r="D104" s="11"/>
      <c r="E104" s="11"/>
      <c r="F104" s="11"/>
      <c r="G104" s="11"/>
      <c r="H104" s="427"/>
      <c r="I104" s="427"/>
    </row>
    <row r="105" spans="1:9" ht="12.75">
      <c r="A105" s="402"/>
      <c r="B105" s="402"/>
      <c r="C105" s="12"/>
      <c r="D105" s="11"/>
      <c r="E105" s="11"/>
      <c r="F105" s="11"/>
      <c r="G105" s="11"/>
      <c r="H105" s="427"/>
      <c r="I105" s="427"/>
    </row>
    <row r="106" spans="1:9" ht="12.75">
      <c r="A106" s="402"/>
      <c r="B106" s="402"/>
      <c r="C106" s="12"/>
      <c r="D106" s="11"/>
      <c r="E106" s="11"/>
      <c r="F106" s="11"/>
      <c r="G106" s="11"/>
      <c r="H106" s="427"/>
      <c r="I106" s="427"/>
    </row>
    <row r="107" spans="1:9" ht="12.75">
      <c r="A107" s="402"/>
      <c r="B107" s="402"/>
      <c r="C107" s="12"/>
      <c r="D107" s="11"/>
      <c r="E107" s="11"/>
      <c r="F107" s="11"/>
      <c r="G107" s="11"/>
      <c r="H107" s="427"/>
      <c r="I107" s="427"/>
    </row>
    <row r="108" ht="15">
      <c r="A108" s="1"/>
    </row>
    <row r="109" spans="1:9" ht="14.25" customHeight="1">
      <c r="A109" s="444" t="s">
        <v>25</v>
      </c>
      <c r="B109" s="444"/>
      <c r="C109" s="444"/>
      <c r="D109" s="444"/>
      <c r="E109" s="444"/>
      <c r="F109" s="444"/>
      <c r="G109" s="444"/>
      <c r="H109" s="444"/>
      <c r="I109" s="444"/>
    </row>
    <row r="110" spans="1:9" ht="72.75" customHeight="1">
      <c r="A110" s="14" t="s">
        <v>20</v>
      </c>
      <c r="B110" s="8" t="s">
        <v>0</v>
      </c>
      <c r="C110" s="14" t="s">
        <v>1</v>
      </c>
      <c r="D110" s="14" t="s">
        <v>14</v>
      </c>
      <c r="E110" s="14" t="s">
        <v>15</v>
      </c>
      <c r="F110" s="14" t="s">
        <v>29</v>
      </c>
      <c r="G110" s="14" t="s">
        <v>30</v>
      </c>
      <c r="H110" s="14" t="s">
        <v>31</v>
      </c>
      <c r="I110" s="14" t="s">
        <v>32</v>
      </c>
    </row>
    <row r="111" spans="1:9" ht="13.5" thickBot="1">
      <c r="A111" s="17">
        <v>1</v>
      </c>
      <c r="B111" s="17">
        <v>2</v>
      </c>
      <c r="C111" s="16">
        <v>3</v>
      </c>
      <c r="D111" s="16">
        <v>4</v>
      </c>
      <c r="E111" s="16">
        <v>5</v>
      </c>
      <c r="F111" s="16">
        <v>6</v>
      </c>
      <c r="G111" s="16">
        <v>7</v>
      </c>
      <c r="H111" s="16">
        <v>8</v>
      </c>
      <c r="I111" s="16">
        <v>9</v>
      </c>
    </row>
    <row r="112" spans="1:9" ht="13.5" hidden="1" thickTop="1">
      <c r="A112" s="24"/>
      <c r="B112" s="26"/>
      <c r="C112" s="26" t="s">
        <v>10</v>
      </c>
      <c r="D112" s="24"/>
      <c r="E112" s="24"/>
      <c r="F112" s="24"/>
      <c r="G112" s="24"/>
      <c r="H112" s="24"/>
      <c r="I112" s="24"/>
    </row>
    <row r="113" spans="1:9" ht="13.5" hidden="1" thickTop="1">
      <c r="A113" s="18"/>
      <c r="B113" s="12"/>
      <c r="C113" s="12" t="s">
        <v>26</v>
      </c>
      <c r="D113" s="18"/>
      <c r="E113" s="18"/>
      <c r="F113" s="18"/>
      <c r="G113" s="18"/>
      <c r="H113" s="18"/>
      <c r="I113" s="18"/>
    </row>
    <row r="114" spans="1:9" ht="13.5" hidden="1" thickTop="1">
      <c r="A114" s="18"/>
      <c r="B114" s="12"/>
      <c r="C114" s="12" t="s">
        <v>16</v>
      </c>
      <c r="D114" s="18"/>
      <c r="E114" s="18"/>
      <c r="F114" s="18"/>
      <c r="G114" s="18"/>
      <c r="H114" s="18"/>
      <c r="I114" s="18"/>
    </row>
    <row r="115" spans="1:9" ht="13.5" hidden="1" thickTop="1">
      <c r="A115" s="18"/>
      <c r="B115" s="12"/>
      <c r="C115" s="12" t="s">
        <v>2</v>
      </c>
      <c r="D115" s="18"/>
      <c r="E115" s="18"/>
      <c r="F115" s="18"/>
      <c r="G115" s="18"/>
      <c r="H115" s="18"/>
      <c r="I115" s="18"/>
    </row>
    <row r="116" spans="1:9" ht="13.5" hidden="1" thickTop="1">
      <c r="A116" s="18"/>
      <c r="B116" s="12"/>
      <c r="C116" s="12" t="s">
        <v>17</v>
      </c>
      <c r="D116" s="18"/>
      <c r="E116" s="18"/>
      <c r="F116" s="18"/>
      <c r="G116" s="18"/>
      <c r="H116" s="18"/>
      <c r="I116" s="18"/>
    </row>
    <row r="117" spans="1:9" ht="13.5" hidden="1" thickTop="1">
      <c r="A117" s="18"/>
      <c r="B117" s="12"/>
      <c r="C117" s="12" t="s">
        <v>2</v>
      </c>
      <c r="D117" s="18"/>
      <c r="E117" s="18"/>
      <c r="F117" s="18"/>
      <c r="G117" s="18"/>
      <c r="H117" s="18"/>
      <c r="I117" s="18"/>
    </row>
    <row r="118" spans="1:9" ht="13.5" hidden="1" thickTop="1">
      <c r="A118" s="18"/>
      <c r="B118" s="12"/>
      <c r="C118" s="12" t="s">
        <v>18</v>
      </c>
      <c r="D118" s="18"/>
      <c r="E118" s="18"/>
      <c r="F118" s="18"/>
      <c r="G118" s="18"/>
      <c r="H118" s="18"/>
      <c r="I118" s="18"/>
    </row>
    <row r="119" spans="1:9" ht="13.5" hidden="1" thickTop="1">
      <c r="A119" s="18"/>
      <c r="B119" s="12"/>
      <c r="C119" s="12" t="s">
        <v>33</v>
      </c>
      <c r="D119" s="18"/>
      <c r="E119" s="18"/>
      <c r="F119" s="18"/>
      <c r="G119" s="18"/>
      <c r="H119" s="18"/>
      <c r="I119" s="18"/>
    </row>
    <row r="120" spans="1:9" ht="13.5" hidden="1" thickTop="1">
      <c r="A120" s="18"/>
      <c r="B120" s="12"/>
      <c r="C120" s="12" t="s">
        <v>19</v>
      </c>
      <c r="D120" s="18"/>
      <c r="E120" s="18"/>
      <c r="F120" s="18"/>
      <c r="G120" s="18"/>
      <c r="H120" s="18"/>
      <c r="I120" s="18"/>
    </row>
    <row r="121" spans="1:9" ht="13.5" hidden="1" thickTop="1">
      <c r="A121" s="18"/>
      <c r="B121" s="12"/>
      <c r="C121" s="12" t="s">
        <v>2</v>
      </c>
      <c r="D121" s="18"/>
      <c r="E121" s="18"/>
      <c r="F121" s="18"/>
      <c r="G121" s="18"/>
      <c r="H121" s="18"/>
      <c r="I121" s="18"/>
    </row>
    <row r="122" spans="1:9" ht="13.5" hidden="1" thickTop="1">
      <c r="A122" s="18"/>
      <c r="B122" s="13"/>
      <c r="C122" s="13" t="s">
        <v>11</v>
      </c>
      <c r="D122" s="18"/>
      <c r="E122" s="18"/>
      <c r="F122" s="18"/>
      <c r="G122" s="18"/>
      <c r="H122" s="18"/>
      <c r="I122" s="18"/>
    </row>
    <row r="123" spans="1:9" ht="13.5" thickTop="1">
      <c r="A123" s="18"/>
      <c r="B123" s="12"/>
      <c r="C123" s="12" t="s">
        <v>2</v>
      </c>
      <c r="D123" s="18"/>
      <c r="E123" s="18"/>
      <c r="F123" s="18"/>
      <c r="G123" s="18"/>
      <c r="H123" s="18"/>
      <c r="I123" s="18"/>
    </row>
    <row r="124" ht="12.75">
      <c r="A124" s="22"/>
    </row>
    <row r="125" spans="1:9" ht="30.75" customHeight="1">
      <c r="A125" s="444" t="s">
        <v>34</v>
      </c>
      <c r="B125" s="444"/>
      <c r="C125" s="444"/>
      <c r="D125" s="444"/>
      <c r="E125" s="444"/>
      <c r="F125" s="444"/>
      <c r="G125" s="444"/>
      <c r="H125" s="444"/>
      <c r="I125" s="444"/>
    </row>
    <row r="126" spans="1:9" ht="15">
      <c r="A126" s="446"/>
      <c r="B126" s="446"/>
      <c r="C126" s="446"/>
      <c r="D126" s="446"/>
      <c r="E126" s="446"/>
      <c r="F126" s="446"/>
      <c r="G126" s="446"/>
      <c r="H126" s="446"/>
      <c r="I126" s="446"/>
    </row>
    <row r="127" spans="1:9" ht="15">
      <c r="A127" s="442" t="s">
        <v>213</v>
      </c>
      <c r="B127" s="442"/>
      <c r="C127" s="442"/>
      <c r="D127" s="442"/>
      <c r="E127" s="442"/>
      <c r="F127" s="442"/>
      <c r="G127" s="442"/>
      <c r="H127" s="442"/>
      <c r="I127" s="442"/>
    </row>
    <row r="128" spans="1:9" ht="12.75">
      <c r="A128" s="2" t="s">
        <v>35</v>
      </c>
      <c r="I128" s="2" t="s">
        <v>4</v>
      </c>
    </row>
    <row r="129" spans="1:9" s="19" customFormat="1" ht="12.75">
      <c r="A129" s="443" t="s">
        <v>3</v>
      </c>
      <c r="B129" s="443"/>
      <c r="C129" s="23"/>
      <c r="D129" s="18"/>
      <c r="E129" s="18"/>
      <c r="F129" s="18"/>
      <c r="G129" s="18"/>
      <c r="H129" s="443"/>
      <c r="I129" s="443"/>
    </row>
    <row r="130" ht="12.75">
      <c r="A130" s="4"/>
    </row>
    <row r="131" ht="12.75">
      <c r="A131" s="4"/>
    </row>
    <row r="132" spans="1:9" ht="18.75" customHeight="1">
      <c r="A132" s="393" t="s">
        <v>159</v>
      </c>
      <c r="B132" s="393"/>
      <c r="C132" s="393"/>
      <c r="E132" s="392" t="s">
        <v>8</v>
      </c>
      <c r="F132" s="392"/>
      <c r="H132" s="392" t="s">
        <v>108</v>
      </c>
      <c r="I132" s="392"/>
    </row>
    <row r="133" spans="1:9" ht="15">
      <c r="A133" s="5"/>
      <c r="B133" s="5"/>
      <c r="E133" s="431" t="s">
        <v>5</v>
      </c>
      <c r="F133" s="431"/>
      <c r="H133" s="431" t="s">
        <v>6</v>
      </c>
      <c r="I133" s="431"/>
    </row>
    <row r="134" spans="1:8" ht="12.75" customHeight="1">
      <c r="A134" s="10"/>
      <c r="B134" s="10"/>
      <c r="E134" s="9"/>
      <c r="H134" s="9"/>
    </row>
    <row r="135" spans="1:9" ht="18.75" customHeight="1">
      <c r="A135" s="393" t="s">
        <v>107</v>
      </c>
      <c r="B135" s="393"/>
      <c r="C135" s="393"/>
      <c r="E135" s="392" t="s">
        <v>8</v>
      </c>
      <c r="F135" s="392"/>
      <c r="H135" s="392" t="s">
        <v>109</v>
      </c>
      <c r="I135" s="392"/>
    </row>
    <row r="136" spans="1:9" ht="15">
      <c r="A136" s="5"/>
      <c r="E136" s="431" t="s">
        <v>5</v>
      </c>
      <c r="F136" s="431"/>
      <c r="H136" s="431" t="s">
        <v>6</v>
      </c>
      <c r="I136" s="431"/>
    </row>
    <row r="137" ht="12.75">
      <c r="A137" s="4"/>
    </row>
    <row r="138" ht="12.75">
      <c r="A138" s="4"/>
    </row>
  </sheetData>
  <sheetProtection/>
  <mergeCells count="120">
    <mergeCell ref="A1:I1"/>
    <mergeCell ref="A3:I3"/>
    <mergeCell ref="A4:I4"/>
    <mergeCell ref="B5:J5"/>
    <mergeCell ref="B6:J6"/>
    <mergeCell ref="B12:I12"/>
    <mergeCell ref="A14:B15"/>
    <mergeCell ref="C14:C15"/>
    <mergeCell ref="D14:D15"/>
    <mergeCell ref="E14:E15"/>
    <mergeCell ref="F14:G14"/>
    <mergeCell ref="H14:I15"/>
    <mergeCell ref="A16:B16"/>
    <mergeCell ref="H16:I16"/>
    <mergeCell ref="H17:I17"/>
    <mergeCell ref="H19:I19"/>
    <mergeCell ref="H20:I20"/>
    <mergeCell ref="H21:I21"/>
    <mergeCell ref="H18:I18"/>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60:I60"/>
    <mergeCell ref="H61:I61"/>
    <mergeCell ref="H62:I62"/>
    <mergeCell ref="H63:I63"/>
    <mergeCell ref="H54:I59"/>
    <mergeCell ref="H52:I52"/>
    <mergeCell ref="H53:I53"/>
    <mergeCell ref="H64:I64"/>
    <mergeCell ref="H65:I65"/>
    <mergeCell ref="H66:I66"/>
    <mergeCell ref="H67:I67"/>
    <mergeCell ref="H68:I68"/>
    <mergeCell ref="H69:I69"/>
    <mergeCell ref="H70:I70"/>
    <mergeCell ref="H71:I71"/>
    <mergeCell ref="H72:I72"/>
    <mergeCell ref="H73:I73"/>
    <mergeCell ref="H74:I74"/>
    <mergeCell ref="A76:I76"/>
    <mergeCell ref="E77:G77"/>
    <mergeCell ref="E78:G78"/>
    <mergeCell ref="E79:G79"/>
    <mergeCell ref="C81:I81"/>
    <mergeCell ref="E82:G82"/>
    <mergeCell ref="E83:G83"/>
    <mergeCell ref="A91:I91"/>
    <mergeCell ref="A92:I92"/>
    <mergeCell ref="A93:I93"/>
    <mergeCell ref="A94:I94"/>
    <mergeCell ref="A96:B96"/>
    <mergeCell ref="H96:I96"/>
    <mergeCell ref="A98:I98"/>
    <mergeCell ref="A100:B101"/>
    <mergeCell ref="C100:C101"/>
    <mergeCell ref="D100:E100"/>
    <mergeCell ref="F100:G100"/>
    <mergeCell ref="H100:I101"/>
    <mergeCell ref="A102:B102"/>
    <mergeCell ref="H102:I102"/>
    <mergeCell ref="A103:B103"/>
    <mergeCell ref="H103:I103"/>
    <mergeCell ref="A104:B104"/>
    <mergeCell ref="H104:I104"/>
    <mergeCell ref="A105:B105"/>
    <mergeCell ref="H105:I105"/>
    <mergeCell ref="A106:B106"/>
    <mergeCell ref="H106:I106"/>
    <mergeCell ref="A107:B107"/>
    <mergeCell ref="H107:I107"/>
    <mergeCell ref="A109:I109"/>
    <mergeCell ref="A125:I125"/>
    <mergeCell ref="A126:I126"/>
    <mergeCell ref="A127:I127"/>
    <mergeCell ref="A129:B129"/>
    <mergeCell ref="H129:I129"/>
    <mergeCell ref="E136:F136"/>
    <mergeCell ref="H136:I136"/>
    <mergeCell ref="A132:C132"/>
    <mergeCell ref="E132:F132"/>
    <mergeCell ref="H132:I132"/>
    <mergeCell ref="E133:F133"/>
    <mergeCell ref="H133:I133"/>
    <mergeCell ref="A135:C135"/>
    <mergeCell ref="E135:F135"/>
    <mergeCell ref="H135:I135"/>
    <mergeCell ref="E84:G84"/>
    <mergeCell ref="E85:G85"/>
    <mergeCell ref="E86:G86"/>
    <mergeCell ref="E87:G87"/>
    <mergeCell ref="E88:G88"/>
    <mergeCell ref="E89:G89"/>
  </mergeCells>
  <printOptions horizontalCentered="1"/>
  <pageMargins left="0.2362204724409449" right="0.15748031496062992" top="0.1968503937007874" bottom="0.15748031496062992" header="0.1968503937007874" footer="0.11811023622047245"/>
  <pageSetup fitToHeight="0" fitToWidth="1"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sheetPr>
    <tabColor rgb="FFFFC000"/>
    <pageSetUpPr fitToPage="1"/>
  </sheetPr>
  <dimension ref="A1:J205"/>
  <sheetViews>
    <sheetView view="pageBreakPreview" zoomScale="90" zoomScaleSheetLayoutView="90" zoomScalePageLayoutView="0" workbookViewId="0" topLeftCell="B12">
      <selection activeCell="H111" sqref="H111:I122"/>
    </sheetView>
  </sheetViews>
  <sheetFormatPr defaultColWidth="9.00390625" defaultRowHeight="12.75"/>
  <cols>
    <col min="1" max="1" width="6.375" style="0" hidden="1" customWidth="1"/>
    <col min="2" max="2" width="7.625" style="0" customWidth="1"/>
    <col min="3" max="3" width="84.50390625" style="0" customWidth="1"/>
    <col min="4" max="4" width="8.375" style="0" customWidth="1"/>
    <col min="5" max="6" width="8.50390625" style="0" customWidth="1"/>
    <col min="7" max="7" width="11.375" style="0" customWidth="1"/>
    <col min="8" max="8" width="32.50390625" style="0" customWidth="1"/>
    <col min="9" max="9" width="32.375" style="0" customWidth="1"/>
    <col min="10" max="10" width="10.50390625" style="0" customWidth="1"/>
  </cols>
  <sheetData>
    <row r="1" spans="1:9" s="60" customFormat="1" ht="21" thickBot="1">
      <c r="A1" s="432" t="s">
        <v>217</v>
      </c>
      <c r="B1" s="432"/>
      <c r="C1" s="432"/>
      <c r="D1" s="432"/>
      <c r="E1" s="432"/>
      <c r="F1" s="432"/>
      <c r="G1" s="432"/>
      <c r="H1" s="432"/>
      <c r="I1" s="432"/>
    </row>
    <row r="2" s="60" customFormat="1" ht="9.75" customHeight="1" thickTop="1">
      <c r="A2" s="70"/>
    </row>
    <row r="3" spans="1:9" s="60" customFormat="1" ht="15">
      <c r="A3" s="433" t="s">
        <v>160</v>
      </c>
      <c r="B3" s="433"/>
      <c r="C3" s="433"/>
      <c r="D3" s="433"/>
      <c r="E3" s="433"/>
      <c r="F3" s="433"/>
      <c r="G3" s="433"/>
      <c r="H3" s="433"/>
      <c r="I3" s="433"/>
    </row>
    <row r="4" spans="1:9" s="60" customFormat="1" ht="12" customHeight="1">
      <c r="A4" s="434" t="s">
        <v>206</v>
      </c>
      <c r="B4" s="434"/>
      <c r="C4" s="434"/>
      <c r="D4" s="434"/>
      <c r="E4" s="434"/>
      <c r="F4" s="434"/>
      <c r="G4" s="434"/>
      <c r="H4" s="434"/>
      <c r="I4" s="434"/>
    </row>
    <row r="5" spans="1:10" s="60" customFormat="1" ht="12" customHeight="1">
      <c r="A5" s="112"/>
      <c r="B5" s="433" t="s">
        <v>205</v>
      </c>
      <c r="C5" s="433"/>
      <c r="D5" s="433"/>
      <c r="E5" s="433"/>
      <c r="F5" s="433"/>
      <c r="G5" s="433"/>
      <c r="H5" s="433"/>
      <c r="I5" s="433"/>
      <c r="J5" s="433"/>
    </row>
    <row r="6" spans="1:10" s="60" customFormat="1" ht="12" customHeight="1">
      <c r="A6" s="112"/>
      <c r="B6" s="434" t="s">
        <v>207</v>
      </c>
      <c r="C6" s="434"/>
      <c r="D6" s="434"/>
      <c r="E6" s="434"/>
      <c r="F6" s="434"/>
      <c r="G6" s="434"/>
      <c r="H6" s="434"/>
      <c r="I6" s="434"/>
      <c r="J6" s="434"/>
    </row>
    <row r="7" spans="1:9" s="60" customFormat="1" ht="12" customHeight="1">
      <c r="A7" s="112"/>
      <c r="B7" s="119"/>
      <c r="C7" s="116"/>
      <c r="D7" s="116"/>
      <c r="E7" s="116"/>
      <c r="F7" s="116"/>
      <c r="G7" s="116"/>
      <c r="H7" s="116"/>
      <c r="I7" s="116"/>
    </row>
    <row r="8" spans="1:9" s="60" customFormat="1" ht="12" customHeight="1">
      <c r="A8" s="112"/>
      <c r="B8" s="115" t="s">
        <v>251</v>
      </c>
      <c r="C8" s="116"/>
      <c r="D8" s="116"/>
      <c r="E8" s="116"/>
      <c r="F8" s="116"/>
      <c r="G8" s="116"/>
      <c r="H8" s="116"/>
      <c r="I8" s="116"/>
    </row>
    <row r="9" spans="1:9" s="60" customFormat="1" ht="12" customHeight="1">
      <c r="A9" s="112"/>
      <c r="B9" s="117"/>
      <c r="C9" s="118" t="s">
        <v>201</v>
      </c>
      <c r="D9" s="116"/>
      <c r="E9" s="120" t="s">
        <v>202</v>
      </c>
      <c r="F9" s="116"/>
      <c r="H9" s="116"/>
      <c r="I9" s="116"/>
    </row>
    <row r="10" spans="1:9" s="60" customFormat="1" ht="12" customHeight="1">
      <c r="A10" s="112"/>
      <c r="B10" s="121"/>
      <c r="C10" s="121"/>
      <c r="D10" s="121"/>
      <c r="E10" s="121"/>
      <c r="F10" s="121"/>
      <c r="G10" s="121"/>
      <c r="H10" s="121"/>
      <c r="I10" s="121"/>
    </row>
    <row r="11" spans="1:9" s="60" customFormat="1" ht="12" customHeight="1">
      <c r="A11" s="112"/>
      <c r="B11" s="115" t="s">
        <v>203</v>
      </c>
      <c r="C11" s="115"/>
      <c r="D11" s="115"/>
      <c r="E11" s="115"/>
      <c r="F11" s="115"/>
      <c r="G11" s="115"/>
      <c r="H11" s="115"/>
      <c r="I11" s="115"/>
    </row>
    <row r="12" spans="1:9" s="60" customFormat="1" ht="12" customHeight="1">
      <c r="A12" s="112"/>
      <c r="B12" s="400" t="s">
        <v>204</v>
      </c>
      <c r="C12" s="400"/>
      <c r="D12" s="400"/>
      <c r="E12" s="400"/>
      <c r="F12" s="400"/>
      <c r="G12" s="400"/>
      <c r="H12" s="400"/>
      <c r="I12" s="400"/>
    </row>
    <row r="13" s="60" customFormat="1" ht="12.75">
      <c r="I13" s="71" t="s">
        <v>4</v>
      </c>
    </row>
    <row r="14" spans="1:9" s="60" customFormat="1" ht="12.75">
      <c r="A14" s="417" t="s">
        <v>23</v>
      </c>
      <c r="B14" s="417"/>
      <c r="C14" s="417" t="s">
        <v>1</v>
      </c>
      <c r="D14" s="417" t="s">
        <v>175</v>
      </c>
      <c r="E14" s="417" t="s">
        <v>176</v>
      </c>
      <c r="F14" s="417" t="s">
        <v>177</v>
      </c>
      <c r="G14" s="417"/>
      <c r="H14" s="417" t="s">
        <v>208</v>
      </c>
      <c r="I14" s="417"/>
    </row>
    <row r="15" spans="1:9" s="60" customFormat="1" ht="27" customHeight="1">
      <c r="A15" s="417"/>
      <c r="B15" s="417"/>
      <c r="C15" s="417"/>
      <c r="D15" s="417"/>
      <c r="E15" s="417"/>
      <c r="F15" s="111" t="s">
        <v>24</v>
      </c>
      <c r="G15" s="111" t="s">
        <v>36</v>
      </c>
      <c r="H15" s="417"/>
      <c r="I15" s="417"/>
    </row>
    <row r="16" spans="1:9" s="60" customFormat="1" ht="13.5" thickBot="1">
      <c r="A16" s="415">
        <v>1</v>
      </c>
      <c r="B16" s="415"/>
      <c r="C16" s="113">
        <v>2</v>
      </c>
      <c r="D16" s="113">
        <v>3</v>
      </c>
      <c r="E16" s="113">
        <v>4</v>
      </c>
      <c r="F16" s="113">
        <v>5</v>
      </c>
      <c r="G16" s="113">
        <v>6</v>
      </c>
      <c r="H16" s="416">
        <v>7</v>
      </c>
      <c r="I16" s="416"/>
    </row>
    <row r="17" spans="2:9" s="55" customFormat="1" ht="13.5" thickTop="1">
      <c r="B17" s="169">
        <v>1117320</v>
      </c>
      <c r="C17" s="169" t="s">
        <v>228</v>
      </c>
      <c r="D17" s="45">
        <f>D18+D75</f>
        <v>7120.780000000001</v>
      </c>
      <c r="E17" s="45">
        <f>E18+E75</f>
        <v>17564.1</v>
      </c>
      <c r="F17" s="45">
        <f>F18+F75</f>
        <v>0</v>
      </c>
      <c r="G17" s="45">
        <f>G18+G75</f>
        <v>74743.375</v>
      </c>
      <c r="H17" s="428"/>
      <c r="I17" s="428"/>
    </row>
    <row r="18" spans="2:9" s="153" customFormat="1" ht="12.75">
      <c r="B18" s="151">
        <v>1117323</v>
      </c>
      <c r="C18" s="151" t="s">
        <v>229</v>
      </c>
      <c r="D18" s="152">
        <f>D19+D54</f>
        <v>0</v>
      </c>
      <c r="E18" s="152">
        <f>E19+E54</f>
        <v>14100</v>
      </c>
      <c r="F18" s="152">
        <f>F19+F54</f>
        <v>0</v>
      </c>
      <c r="G18" s="152">
        <f>G19+G54</f>
        <v>39743.375</v>
      </c>
      <c r="H18" s="429"/>
      <c r="I18" s="429"/>
    </row>
    <row r="19" spans="1:9" ht="12.75" hidden="1">
      <c r="A19" s="6"/>
      <c r="B19" s="27">
        <v>2000</v>
      </c>
      <c r="C19" s="28" t="s">
        <v>37</v>
      </c>
      <c r="D19" s="33">
        <f>D20+D25+D42+D45+D49+D53</f>
        <v>0</v>
      </c>
      <c r="E19" s="33">
        <f>E20+E25+E42+E45+E49+E53</f>
        <v>0</v>
      </c>
      <c r="F19" s="33">
        <f>F20+F25+F42+F45+F49+F53</f>
        <v>0</v>
      </c>
      <c r="G19" s="33">
        <f>G20+G25+G42+G45+G49+G53</f>
        <v>0</v>
      </c>
      <c r="H19" s="402"/>
      <c r="I19" s="402"/>
    </row>
    <row r="20" spans="1:9" ht="12.75" customHeight="1" hidden="1">
      <c r="A20" s="6"/>
      <c r="B20" s="29">
        <v>2100</v>
      </c>
      <c r="C20" s="30" t="s">
        <v>38</v>
      </c>
      <c r="D20" s="35">
        <f>D21+D24</f>
        <v>0</v>
      </c>
      <c r="E20" s="35">
        <f>E21+E24</f>
        <v>0</v>
      </c>
      <c r="F20" s="35">
        <f>F21+F24</f>
        <v>0</v>
      </c>
      <c r="G20" s="35">
        <f>G21+G24</f>
        <v>0</v>
      </c>
      <c r="H20" s="402"/>
      <c r="I20" s="402"/>
    </row>
    <row r="21" spans="1:9" ht="12.75" hidden="1">
      <c r="A21" s="6"/>
      <c r="B21" s="29">
        <v>2110</v>
      </c>
      <c r="C21" s="30" t="s">
        <v>39</v>
      </c>
      <c r="D21" s="35">
        <f>D22+D23</f>
        <v>0</v>
      </c>
      <c r="E21" s="35">
        <f>E22+E23</f>
        <v>0</v>
      </c>
      <c r="F21" s="35">
        <f>F22+F23</f>
        <v>0</v>
      </c>
      <c r="G21" s="35">
        <f>G22+G23</f>
        <v>0</v>
      </c>
      <c r="H21" s="402"/>
      <c r="I21" s="402"/>
    </row>
    <row r="22" spans="1:9" ht="12.75" hidden="1">
      <c r="A22" s="6"/>
      <c r="B22" s="29">
        <v>2111</v>
      </c>
      <c r="C22" s="30" t="s">
        <v>42</v>
      </c>
      <c r="D22" s="34"/>
      <c r="E22" s="34"/>
      <c r="F22" s="34"/>
      <c r="G22" s="34"/>
      <c r="H22" s="402"/>
      <c r="I22" s="402"/>
    </row>
    <row r="23" spans="1:9" ht="12.75" customHeight="1" hidden="1">
      <c r="A23" s="6"/>
      <c r="B23" s="29">
        <v>2112</v>
      </c>
      <c r="C23" s="30" t="s">
        <v>43</v>
      </c>
      <c r="D23" s="34"/>
      <c r="E23" s="34"/>
      <c r="F23" s="34"/>
      <c r="G23" s="34"/>
      <c r="H23" s="402"/>
      <c r="I23" s="402"/>
    </row>
    <row r="24" spans="1:9" ht="12.75" hidden="1">
      <c r="A24" s="6"/>
      <c r="B24" s="29">
        <v>2120</v>
      </c>
      <c r="C24" s="30" t="s">
        <v>44</v>
      </c>
      <c r="D24" s="34"/>
      <c r="E24" s="34"/>
      <c r="F24" s="34"/>
      <c r="G24" s="34"/>
      <c r="H24" s="402"/>
      <c r="I24" s="402"/>
    </row>
    <row r="25" spans="1:9" ht="12.75" hidden="1">
      <c r="A25" s="6"/>
      <c r="B25" s="27">
        <v>2200</v>
      </c>
      <c r="C25" s="28" t="s">
        <v>45</v>
      </c>
      <c r="D25" s="33">
        <f>SUM(D26:D32)+D39</f>
        <v>0</v>
      </c>
      <c r="E25" s="33">
        <f>SUM(E26:E32)+E39</f>
        <v>0</v>
      </c>
      <c r="F25" s="33">
        <f>SUM(F26:F32)+F39</f>
        <v>0</v>
      </c>
      <c r="G25" s="33">
        <f>SUM(G26:G32)+G39</f>
        <v>0</v>
      </c>
      <c r="H25" s="402"/>
      <c r="I25" s="402"/>
    </row>
    <row r="26" spans="1:9" ht="12.75" customHeight="1" hidden="1">
      <c r="A26" s="6"/>
      <c r="B26" s="29">
        <v>2210</v>
      </c>
      <c r="C26" s="30" t="s">
        <v>46</v>
      </c>
      <c r="D26" s="34"/>
      <c r="E26" s="34"/>
      <c r="F26" s="34"/>
      <c r="G26" s="34"/>
      <c r="H26" s="402"/>
      <c r="I26" s="402"/>
    </row>
    <row r="27" spans="1:9" ht="12.75" customHeight="1" hidden="1">
      <c r="A27" s="6"/>
      <c r="B27" s="29">
        <v>2220</v>
      </c>
      <c r="C27" s="30" t="s">
        <v>47</v>
      </c>
      <c r="D27" s="34"/>
      <c r="E27" s="34"/>
      <c r="F27" s="34"/>
      <c r="G27" s="34"/>
      <c r="H27" s="402"/>
      <c r="I27" s="402"/>
    </row>
    <row r="28" spans="1:9" ht="12.75" customHeight="1" hidden="1">
      <c r="A28" s="6"/>
      <c r="B28" s="29">
        <v>2230</v>
      </c>
      <c r="C28" s="30" t="s">
        <v>48</v>
      </c>
      <c r="D28" s="34"/>
      <c r="E28" s="34"/>
      <c r="F28" s="34"/>
      <c r="G28" s="34"/>
      <c r="H28" s="402"/>
      <c r="I28" s="402"/>
    </row>
    <row r="29" spans="1:9" ht="12.75" hidden="1">
      <c r="A29" s="6"/>
      <c r="B29" s="29">
        <v>2240</v>
      </c>
      <c r="C29" s="30" t="s">
        <v>49</v>
      </c>
      <c r="D29" s="34"/>
      <c r="E29" s="34"/>
      <c r="F29" s="34"/>
      <c r="G29" s="34"/>
      <c r="H29" s="402"/>
      <c r="I29" s="402"/>
    </row>
    <row r="30" spans="1:9" ht="12.75" hidden="1">
      <c r="A30" s="6"/>
      <c r="B30" s="29">
        <v>2250</v>
      </c>
      <c r="C30" s="30" t="s">
        <v>50</v>
      </c>
      <c r="D30" s="34"/>
      <c r="E30" s="34"/>
      <c r="F30" s="34"/>
      <c r="G30" s="34"/>
      <c r="H30" s="402"/>
      <c r="I30" s="402"/>
    </row>
    <row r="31" spans="1:9" ht="12.75" customHeight="1" hidden="1">
      <c r="A31" s="6"/>
      <c r="B31" s="29">
        <v>2260</v>
      </c>
      <c r="C31" s="30" t="s">
        <v>51</v>
      </c>
      <c r="D31" s="34"/>
      <c r="E31" s="34"/>
      <c r="F31" s="34"/>
      <c r="G31" s="34"/>
      <c r="H31" s="402"/>
      <c r="I31" s="402"/>
    </row>
    <row r="32" spans="1:9" ht="12.75" hidden="1">
      <c r="A32" s="6"/>
      <c r="B32" s="27">
        <v>2270</v>
      </c>
      <c r="C32" s="28" t="s">
        <v>52</v>
      </c>
      <c r="D32" s="33">
        <f>D33+D34+D35+D36+D37+D38</f>
        <v>0</v>
      </c>
      <c r="E32" s="33">
        <f>E33+E34+E35+E36+E37+E38</f>
        <v>0</v>
      </c>
      <c r="F32" s="33">
        <f>F33+F34+F35+F36+F37+F38</f>
        <v>0</v>
      </c>
      <c r="G32" s="33">
        <f>G33+G34+G35+G36+G37+G38</f>
        <v>0</v>
      </c>
      <c r="H32" s="402"/>
      <c r="I32" s="402"/>
    </row>
    <row r="33" spans="1:9" ht="12.75" hidden="1">
      <c r="A33" s="6"/>
      <c r="B33" s="29">
        <v>2271</v>
      </c>
      <c r="C33" s="30" t="s">
        <v>53</v>
      </c>
      <c r="D33" s="34"/>
      <c r="E33" s="34"/>
      <c r="F33" s="34"/>
      <c r="G33" s="34"/>
      <c r="H33" s="402"/>
      <c r="I33" s="402"/>
    </row>
    <row r="34" spans="1:9" ht="12.75" hidden="1">
      <c r="A34" s="6"/>
      <c r="B34" s="29">
        <v>2272</v>
      </c>
      <c r="C34" s="30" t="s">
        <v>54</v>
      </c>
      <c r="D34" s="34"/>
      <c r="E34" s="34"/>
      <c r="F34" s="34"/>
      <c r="G34" s="34"/>
      <c r="H34" s="402"/>
      <c r="I34" s="402"/>
    </row>
    <row r="35" spans="1:9" ht="12.75" hidden="1">
      <c r="A35" s="6"/>
      <c r="B35" s="29">
        <v>2273</v>
      </c>
      <c r="C35" s="30" t="s">
        <v>55</v>
      </c>
      <c r="D35" s="34"/>
      <c r="E35" s="34"/>
      <c r="F35" s="34"/>
      <c r="G35" s="34"/>
      <c r="H35" s="402"/>
      <c r="I35" s="402"/>
    </row>
    <row r="36" spans="1:9" ht="12.75" customHeight="1" hidden="1">
      <c r="A36" s="6"/>
      <c r="B36" s="29">
        <v>2274</v>
      </c>
      <c r="C36" s="30" t="s">
        <v>56</v>
      </c>
      <c r="D36" s="34"/>
      <c r="E36" s="34"/>
      <c r="F36" s="34"/>
      <c r="G36" s="34"/>
      <c r="H36" s="402"/>
      <c r="I36" s="402"/>
    </row>
    <row r="37" spans="1:9" ht="12.75" customHeight="1" hidden="1">
      <c r="A37" s="6"/>
      <c r="B37" s="29">
        <v>2275</v>
      </c>
      <c r="C37" s="30" t="s">
        <v>57</v>
      </c>
      <c r="D37" s="34"/>
      <c r="E37" s="34"/>
      <c r="F37" s="34"/>
      <c r="G37" s="34"/>
      <c r="H37" s="402"/>
      <c r="I37" s="402"/>
    </row>
    <row r="38" spans="1:9" ht="12.75" customHeight="1" hidden="1">
      <c r="A38" s="6"/>
      <c r="B38" s="31">
        <v>2276</v>
      </c>
      <c r="C38" s="32" t="s">
        <v>58</v>
      </c>
      <c r="D38" s="34"/>
      <c r="E38" s="34"/>
      <c r="F38" s="34"/>
      <c r="G38" s="34"/>
      <c r="H38" s="402"/>
      <c r="I38" s="402"/>
    </row>
    <row r="39" spans="1:9" ht="12.75" customHeight="1" hidden="1">
      <c r="A39" s="6"/>
      <c r="B39" s="27">
        <v>2280</v>
      </c>
      <c r="C39" s="28" t="s">
        <v>59</v>
      </c>
      <c r="D39" s="33">
        <f>D40+D41</f>
        <v>0</v>
      </c>
      <c r="E39" s="33">
        <f>E40+E41</f>
        <v>0</v>
      </c>
      <c r="F39" s="33">
        <f>F40+F41</f>
        <v>0</v>
      </c>
      <c r="G39" s="33">
        <f>G40+G41</f>
        <v>0</v>
      </c>
      <c r="H39" s="402"/>
      <c r="I39" s="402"/>
    </row>
    <row r="40" spans="1:9" ht="12.75" customHeight="1" hidden="1">
      <c r="A40" s="6"/>
      <c r="B40" s="29">
        <v>2281</v>
      </c>
      <c r="C40" s="30" t="s">
        <v>60</v>
      </c>
      <c r="D40" s="34"/>
      <c r="E40" s="34"/>
      <c r="F40" s="34"/>
      <c r="G40" s="34"/>
      <c r="H40" s="402"/>
      <c r="I40" s="402"/>
    </row>
    <row r="41" spans="1:9" ht="12.75" customHeight="1" hidden="1">
      <c r="A41" s="6"/>
      <c r="B41" s="29">
        <v>2282</v>
      </c>
      <c r="C41" s="30" t="s">
        <v>61</v>
      </c>
      <c r="D41" s="34"/>
      <c r="E41" s="34"/>
      <c r="F41" s="34"/>
      <c r="G41" s="34"/>
      <c r="H41" s="402"/>
      <c r="I41" s="402"/>
    </row>
    <row r="42" spans="1:9" ht="12.75" customHeight="1" hidden="1">
      <c r="A42" s="6"/>
      <c r="B42" s="27">
        <v>2400</v>
      </c>
      <c r="C42" s="28" t="s">
        <v>62</v>
      </c>
      <c r="D42" s="34">
        <f>D43+D44</f>
        <v>0</v>
      </c>
      <c r="E42" s="34">
        <f>E43+E44</f>
        <v>0</v>
      </c>
      <c r="F42" s="34">
        <f>F43+F44</f>
        <v>0</v>
      </c>
      <c r="G42" s="34">
        <f>G43+G44</f>
        <v>0</v>
      </c>
      <c r="H42" s="402"/>
      <c r="I42" s="402"/>
    </row>
    <row r="43" spans="1:9" ht="12.75" customHeight="1" hidden="1">
      <c r="A43" s="6"/>
      <c r="B43" s="29">
        <v>2410</v>
      </c>
      <c r="C43" s="30" t="s">
        <v>63</v>
      </c>
      <c r="D43" s="34"/>
      <c r="E43" s="34"/>
      <c r="F43" s="34"/>
      <c r="G43" s="34"/>
      <c r="H43" s="402"/>
      <c r="I43" s="402"/>
    </row>
    <row r="44" spans="1:9" ht="12.75" customHeight="1" hidden="1">
      <c r="A44" s="6"/>
      <c r="B44" s="29">
        <v>2420</v>
      </c>
      <c r="C44" s="30" t="s">
        <v>64</v>
      </c>
      <c r="D44" s="34"/>
      <c r="E44" s="34"/>
      <c r="F44" s="34"/>
      <c r="G44" s="34"/>
      <c r="H44" s="402"/>
      <c r="I44" s="402"/>
    </row>
    <row r="45" spans="1:9" ht="12.75" customHeight="1" hidden="1">
      <c r="A45" s="6"/>
      <c r="B45" s="27">
        <v>2600</v>
      </c>
      <c r="C45" s="28" t="s">
        <v>65</v>
      </c>
      <c r="D45" s="33">
        <f>D46+D47+D48</f>
        <v>0</v>
      </c>
      <c r="E45" s="33">
        <f>E46+E47+E48</f>
        <v>0</v>
      </c>
      <c r="F45" s="33">
        <f>F46+F47+F48</f>
        <v>0</v>
      </c>
      <c r="G45" s="33">
        <f>G46+G47+G48</f>
        <v>0</v>
      </c>
      <c r="H45" s="402"/>
      <c r="I45" s="402"/>
    </row>
    <row r="46" spans="1:9" ht="12.75" customHeight="1" hidden="1">
      <c r="A46" s="6"/>
      <c r="B46" s="29">
        <v>2610</v>
      </c>
      <c r="C46" s="30" t="s">
        <v>66</v>
      </c>
      <c r="D46" s="34"/>
      <c r="E46" s="34"/>
      <c r="F46" s="34"/>
      <c r="G46" s="34"/>
      <c r="H46" s="402"/>
      <c r="I46" s="402"/>
    </row>
    <row r="47" spans="1:9" ht="12.75" customHeight="1" hidden="1">
      <c r="A47" s="6"/>
      <c r="B47" s="29">
        <v>2620</v>
      </c>
      <c r="C47" s="30" t="s">
        <v>67</v>
      </c>
      <c r="D47" s="34"/>
      <c r="E47" s="34"/>
      <c r="F47" s="34"/>
      <c r="G47" s="34"/>
      <c r="H47" s="402"/>
      <c r="I47" s="402"/>
    </row>
    <row r="48" spans="1:9" ht="12.75" customHeight="1" hidden="1">
      <c r="A48" s="6"/>
      <c r="B48" s="29">
        <v>2630</v>
      </c>
      <c r="C48" s="30" t="s">
        <v>68</v>
      </c>
      <c r="D48" s="34"/>
      <c r="E48" s="34"/>
      <c r="F48" s="34"/>
      <c r="G48" s="34"/>
      <c r="H48" s="402"/>
      <c r="I48" s="402"/>
    </row>
    <row r="49" spans="1:9" ht="12.75" hidden="1">
      <c r="A49" s="6"/>
      <c r="B49" s="27">
        <v>2700</v>
      </c>
      <c r="C49" s="28" t="s">
        <v>69</v>
      </c>
      <c r="D49" s="33">
        <f>D50+D51+D52</f>
        <v>0</v>
      </c>
      <c r="E49" s="33">
        <f>E50+E51+E52</f>
        <v>0</v>
      </c>
      <c r="F49" s="33">
        <f>F50+F51+F52</f>
        <v>0</v>
      </c>
      <c r="G49" s="33">
        <f>G50+G51+G52</f>
        <v>0</v>
      </c>
      <c r="H49" s="402"/>
      <c r="I49" s="402"/>
    </row>
    <row r="50" spans="1:9" ht="12.75" customHeight="1" hidden="1">
      <c r="A50" s="6"/>
      <c r="B50" s="29">
        <v>2710</v>
      </c>
      <c r="C50" s="30" t="s">
        <v>70</v>
      </c>
      <c r="D50" s="42"/>
      <c r="E50" s="42"/>
      <c r="F50" s="42"/>
      <c r="G50" s="42"/>
      <c r="H50" s="402"/>
      <c r="I50" s="402"/>
    </row>
    <row r="51" spans="1:9" ht="12.75" customHeight="1" hidden="1">
      <c r="A51" s="6"/>
      <c r="B51" s="29">
        <v>2720</v>
      </c>
      <c r="C51" s="30" t="s">
        <v>71</v>
      </c>
      <c r="D51" s="42"/>
      <c r="E51" s="42"/>
      <c r="F51" s="34"/>
      <c r="G51" s="42"/>
      <c r="H51" s="402"/>
      <c r="I51" s="402"/>
    </row>
    <row r="52" spans="1:9" ht="12.75" hidden="1">
      <c r="A52" s="6"/>
      <c r="B52" s="29">
        <v>2730</v>
      </c>
      <c r="C52" s="30" t="s">
        <v>72</v>
      </c>
      <c r="D52" s="34"/>
      <c r="E52" s="34"/>
      <c r="F52" s="34"/>
      <c r="G52" s="42"/>
      <c r="H52" s="402"/>
      <c r="I52" s="402"/>
    </row>
    <row r="53" spans="1:9" ht="12.75" customHeight="1" hidden="1">
      <c r="A53" s="6"/>
      <c r="B53" s="27">
        <v>2800</v>
      </c>
      <c r="C53" s="28" t="s">
        <v>73</v>
      </c>
      <c r="D53" s="42"/>
      <c r="E53" s="42"/>
      <c r="F53" s="34"/>
      <c r="G53" s="42"/>
      <c r="H53" s="402"/>
      <c r="I53" s="402"/>
    </row>
    <row r="54" spans="1:9" ht="13.5" customHeight="1">
      <c r="A54" s="21"/>
      <c r="B54" s="27">
        <v>3000</v>
      </c>
      <c r="C54" s="28" t="s">
        <v>40</v>
      </c>
      <c r="D54" s="40">
        <f>D55+D69</f>
        <v>0</v>
      </c>
      <c r="E54" s="40">
        <f>E55+E69</f>
        <v>14100</v>
      </c>
      <c r="F54" s="40">
        <f>F55+F69</f>
        <v>0</v>
      </c>
      <c r="G54" s="40">
        <f>G55+G69</f>
        <v>39743.375</v>
      </c>
      <c r="H54" s="403" t="s">
        <v>188</v>
      </c>
      <c r="I54" s="404"/>
    </row>
    <row r="55" spans="1:10" ht="13.5" customHeight="1">
      <c r="A55" s="21"/>
      <c r="B55" s="27">
        <v>3100</v>
      </c>
      <c r="C55" s="28" t="s">
        <v>41</v>
      </c>
      <c r="D55" s="40">
        <f>D56+D57+D60+D63+D67+D68+D69</f>
        <v>0</v>
      </c>
      <c r="E55" s="40">
        <f>E56+E57+E60+E63+E67+E68+E69</f>
        <v>14100</v>
      </c>
      <c r="F55" s="40">
        <f>F56+F57+F60+F63+F67+F68+F69</f>
        <v>0</v>
      </c>
      <c r="G55" s="40">
        <f>G56+G57+G60+G63+G67+G68+G69</f>
        <v>39743.375</v>
      </c>
      <c r="H55" s="405"/>
      <c r="I55" s="406"/>
      <c r="J55" s="51"/>
    </row>
    <row r="56" spans="1:9" ht="13.5" customHeight="1" hidden="1">
      <c r="A56" s="21"/>
      <c r="B56" s="29">
        <v>3110</v>
      </c>
      <c r="C56" s="30" t="s">
        <v>74</v>
      </c>
      <c r="D56" s="42"/>
      <c r="E56" s="42"/>
      <c r="F56" s="41"/>
      <c r="G56" s="41"/>
      <c r="H56" s="405"/>
      <c r="I56" s="406"/>
    </row>
    <row r="57" spans="1:9" ht="12.75" customHeight="1" hidden="1">
      <c r="A57" s="21"/>
      <c r="B57" s="29">
        <v>3120</v>
      </c>
      <c r="C57" s="30" t="s">
        <v>75</v>
      </c>
      <c r="D57" s="40">
        <f>D58+D59</f>
        <v>0</v>
      </c>
      <c r="E57" s="40">
        <f>E58+E59</f>
        <v>0</v>
      </c>
      <c r="F57" s="40">
        <f>F58+F59</f>
        <v>0</v>
      </c>
      <c r="G57" s="40">
        <f>G58+G59</f>
        <v>0</v>
      </c>
      <c r="H57" s="405"/>
      <c r="I57" s="406"/>
    </row>
    <row r="58" spans="1:9" ht="12.75" customHeight="1" hidden="1">
      <c r="A58" s="21"/>
      <c r="B58" s="29">
        <v>3121</v>
      </c>
      <c r="C58" s="30" t="s">
        <v>76</v>
      </c>
      <c r="D58" s="41"/>
      <c r="E58" s="41"/>
      <c r="F58" s="41"/>
      <c r="G58" s="41"/>
      <c r="H58" s="405"/>
      <c r="I58" s="406"/>
    </row>
    <row r="59" spans="1:9" ht="12.75" customHeight="1" hidden="1">
      <c r="A59" s="21"/>
      <c r="B59" s="29">
        <v>3122</v>
      </c>
      <c r="C59" s="30" t="s">
        <v>77</v>
      </c>
      <c r="D59" s="41"/>
      <c r="E59" s="41"/>
      <c r="F59" s="41"/>
      <c r="G59" s="41"/>
      <c r="H59" s="405"/>
      <c r="I59" s="406"/>
    </row>
    <row r="60" spans="1:9" ht="12.75" customHeight="1" hidden="1">
      <c r="A60" s="21"/>
      <c r="B60" s="29">
        <v>3130</v>
      </c>
      <c r="C60" s="30" t="s">
        <v>78</v>
      </c>
      <c r="D60" s="40">
        <f>D61+D62</f>
        <v>0</v>
      </c>
      <c r="E60" s="40">
        <f>E61+E62</f>
        <v>0</v>
      </c>
      <c r="F60" s="40">
        <f>F61+F62</f>
        <v>0</v>
      </c>
      <c r="G60" s="40">
        <f>G61+G62</f>
        <v>0</v>
      </c>
      <c r="H60" s="405"/>
      <c r="I60" s="406"/>
    </row>
    <row r="61" spans="1:9" ht="12.75" customHeight="1" hidden="1">
      <c r="A61" s="21"/>
      <c r="B61" s="29">
        <v>3131</v>
      </c>
      <c r="C61" s="30" t="s">
        <v>79</v>
      </c>
      <c r="D61" s="41"/>
      <c r="E61" s="41"/>
      <c r="F61" s="41"/>
      <c r="G61" s="41"/>
      <c r="H61" s="405"/>
      <c r="I61" s="406"/>
    </row>
    <row r="62" spans="1:9" ht="12.75" customHeight="1" hidden="1">
      <c r="A62" s="21"/>
      <c r="B62" s="29">
        <v>3132</v>
      </c>
      <c r="C62" s="30" t="s">
        <v>80</v>
      </c>
      <c r="D62" s="41"/>
      <c r="E62" s="41"/>
      <c r="F62" s="41"/>
      <c r="G62" s="41"/>
      <c r="H62" s="405"/>
      <c r="I62" s="406"/>
    </row>
    <row r="63" spans="1:9" ht="12.75" customHeight="1">
      <c r="A63" s="21"/>
      <c r="B63" s="29">
        <v>3140</v>
      </c>
      <c r="C63" s="30" t="s">
        <v>81</v>
      </c>
      <c r="D63" s="40">
        <f>D64+D65+D66</f>
        <v>0</v>
      </c>
      <c r="E63" s="40">
        <f>E64+E65+E66</f>
        <v>14100</v>
      </c>
      <c r="F63" s="40">
        <f>F64+F65+F66</f>
        <v>0</v>
      </c>
      <c r="G63" s="40">
        <f>G64+G65+G66</f>
        <v>39743.375</v>
      </c>
      <c r="H63" s="405"/>
      <c r="I63" s="406"/>
    </row>
    <row r="64" spans="1:9" ht="12.75" customHeight="1" hidden="1">
      <c r="A64" s="21"/>
      <c r="B64" s="29">
        <v>3141</v>
      </c>
      <c r="C64" s="30" t="s">
        <v>82</v>
      </c>
      <c r="D64" s="41"/>
      <c r="E64" s="41"/>
      <c r="F64" s="41"/>
      <c r="G64" s="41"/>
      <c r="H64" s="405"/>
      <c r="I64" s="406"/>
    </row>
    <row r="65" spans="1:9" ht="12.75" customHeight="1">
      <c r="A65" s="21"/>
      <c r="B65" s="29">
        <v>3142</v>
      </c>
      <c r="C65" s="30" t="s">
        <v>83</v>
      </c>
      <c r="D65" s="41">
        <f>'2019-3 СВОД'!D1454</f>
        <v>0</v>
      </c>
      <c r="E65" s="41">
        <f>'2019-3 СВОД'!E1454</f>
        <v>14100</v>
      </c>
      <c r="F65" s="41">
        <f>'2019-3 СВОД'!F1454</f>
        <v>0</v>
      </c>
      <c r="G65" s="41">
        <f>'2019-3 СВОД'!G1454</f>
        <v>39743.375</v>
      </c>
      <c r="H65" s="405"/>
      <c r="I65" s="406"/>
    </row>
    <row r="66" spans="1:9" ht="12.75" customHeight="1" hidden="1">
      <c r="A66" s="21"/>
      <c r="B66" s="29">
        <v>3143</v>
      </c>
      <c r="C66" s="30" t="s">
        <v>84</v>
      </c>
      <c r="D66" s="41"/>
      <c r="E66" s="41"/>
      <c r="F66" s="41"/>
      <c r="G66" s="41"/>
      <c r="H66" s="405"/>
      <c r="I66" s="406"/>
    </row>
    <row r="67" spans="1:9" ht="12.75" customHeight="1" hidden="1">
      <c r="A67" s="21"/>
      <c r="B67" s="29">
        <v>3150</v>
      </c>
      <c r="C67" s="30" t="s">
        <v>85</v>
      </c>
      <c r="D67" s="41"/>
      <c r="E67" s="41"/>
      <c r="F67" s="41"/>
      <c r="G67" s="41"/>
      <c r="H67" s="405"/>
      <c r="I67" s="406"/>
    </row>
    <row r="68" spans="1:9" ht="12.75" customHeight="1" hidden="1">
      <c r="A68" s="21"/>
      <c r="B68" s="29">
        <v>3160</v>
      </c>
      <c r="C68" s="30" t="s">
        <v>86</v>
      </c>
      <c r="D68" s="41"/>
      <c r="E68" s="41"/>
      <c r="F68" s="41"/>
      <c r="G68" s="41"/>
      <c r="H68" s="405"/>
      <c r="I68" s="406"/>
    </row>
    <row r="69" spans="1:9" ht="12.75" customHeight="1" hidden="1">
      <c r="A69" s="21"/>
      <c r="B69" s="27">
        <v>3200</v>
      </c>
      <c r="C69" s="28" t="s">
        <v>87</v>
      </c>
      <c r="D69" s="40">
        <f>D70+D71+D72+D73</f>
        <v>0</v>
      </c>
      <c r="E69" s="40">
        <f>E70+E71+E72+E73</f>
        <v>0</v>
      </c>
      <c r="F69" s="40">
        <f>F70+F71+F72+F73</f>
        <v>0</v>
      </c>
      <c r="G69" s="40">
        <f>G70+G71+G72+G73</f>
        <v>0</v>
      </c>
      <c r="H69" s="405"/>
      <c r="I69" s="406"/>
    </row>
    <row r="70" spans="1:9" ht="12.75" customHeight="1" hidden="1">
      <c r="A70" s="21"/>
      <c r="B70" s="29">
        <v>3210</v>
      </c>
      <c r="C70" s="30" t="s">
        <v>88</v>
      </c>
      <c r="D70" s="41"/>
      <c r="E70" s="41"/>
      <c r="F70" s="41"/>
      <c r="G70" s="41"/>
      <c r="H70" s="405"/>
      <c r="I70" s="406"/>
    </row>
    <row r="71" spans="1:9" ht="12.75" customHeight="1" hidden="1">
      <c r="A71" s="21"/>
      <c r="B71" s="29">
        <v>3220</v>
      </c>
      <c r="C71" s="30" t="s">
        <v>89</v>
      </c>
      <c r="D71" s="41"/>
      <c r="E71" s="41"/>
      <c r="F71" s="41"/>
      <c r="G71" s="41"/>
      <c r="H71" s="405"/>
      <c r="I71" s="406"/>
    </row>
    <row r="72" spans="1:9" ht="12.75" customHeight="1" hidden="1">
      <c r="A72" s="21"/>
      <c r="B72" s="29">
        <v>3230</v>
      </c>
      <c r="C72" s="30" t="s">
        <v>90</v>
      </c>
      <c r="D72" s="41"/>
      <c r="E72" s="41"/>
      <c r="F72" s="41"/>
      <c r="G72" s="41"/>
      <c r="H72" s="405"/>
      <c r="I72" s="406"/>
    </row>
    <row r="73" spans="1:9" ht="12.75" customHeight="1" hidden="1">
      <c r="A73" s="21"/>
      <c r="B73" s="29">
        <v>3240</v>
      </c>
      <c r="C73" s="30" t="s">
        <v>91</v>
      </c>
      <c r="D73" s="41"/>
      <c r="E73" s="41"/>
      <c r="F73" s="41"/>
      <c r="G73" s="41"/>
      <c r="H73" s="405"/>
      <c r="I73" s="406"/>
    </row>
    <row r="74" spans="1:9" s="19" customFormat="1" ht="13.5" customHeight="1">
      <c r="A74" s="7"/>
      <c r="B74" s="7"/>
      <c r="C74" s="20" t="s">
        <v>3</v>
      </c>
      <c r="D74" s="34">
        <f>D19+D54</f>
        <v>0</v>
      </c>
      <c r="E74" s="34">
        <f>E19+E54</f>
        <v>14100</v>
      </c>
      <c r="F74" s="34">
        <f>F19+F54</f>
        <v>0</v>
      </c>
      <c r="G74" s="34">
        <f>G19+G54</f>
        <v>39743.375</v>
      </c>
      <c r="H74" s="407"/>
      <c r="I74" s="408"/>
    </row>
    <row r="75" spans="2:9" s="153" customFormat="1" ht="12.75">
      <c r="B75" s="151">
        <v>1117325</v>
      </c>
      <c r="C75" s="151" t="s">
        <v>230</v>
      </c>
      <c r="D75" s="152">
        <f>D76+D111</f>
        <v>7120.780000000001</v>
      </c>
      <c r="E75" s="152">
        <f>E76+E111</f>
        <v>3464.1</v>
      </c>
      <c r="F75" s="152">
        <f>F76+F111</f>
        <v>0</v>
      </c>
      <c r="G75" s="152">
        <f>G76+G111</f>
        <v>35000</v>
      </c>
      <c r="H75" s="429"/>
      <c r="I75" s="429"/>
    </row>
    <row r="76" spans="1:9" ht="12.75" hidden="1">
      <c r="A76" s="6"/>
      <c r="B76" s="27">
        <v>2000</v>
      </c>
      <c r="C76" s="28" t="s">
        <v>37</v>
      </c>
      <c r="D76" s="33">
        <f>D77+D82+D99+D102+D106+D110</f>
        <v>0</v>
      </c>
      <c r="E76" s="33">
        <f>E77+E82+E99+E102+E106+E110</f>
        <v>0</v>
      </c>
      <c r="F76" s="33">
        <f>F77+F82+F99+F102+F106+F110</f>
        <v>0</v>
      </c>
      <c r="G76" s="33">
        <f>G77+G82+G99+G102+G106+G110</f>
        <v>0</v>
      </c>
      <c r="H76" s="402"/>
      <c r="I76" s="402"/>
    </row>
    <row r="77" spans="1:9" ht="12.75" customHeight="1" hidden="1">
      <c r="A77" s="6"/>
      <c r="B77" s="29">
        <v>2100</v>
      </c>
      <c r="C77" s="30" t="s">
        <v>38</v>
      </c>
      <c r="D77" s="35">
        <f>D78+D81</f>
        <v>0</v>
      </c>
      <c r="E77" s="35">
        <f>E78+E81</f>
        <v>0</v>
      </c>
      <c r="F77" s="35">
        <f>F78+F81</f>
        <v>0</v>
      </c>
      <c r="G77" s="35">
        <f>G78+G81</f>
        <v>0</v>
      </c>
      <c r="H77" s="402"/>
      <c r="I77" s="402"/>
    </row>
    <row r="78" spans="1:9" ht="12.75" hidden="1">
      <c r="A78" s="6"/>
      <c r="B78" s="29">
        <v>2110</v>
      </c>
      <c r="C78" s="30" t="s">
        <v>39</v>
      </c>
      <c r="D78" s="35">
        <f>D79+D80</f>
        <v>0</v>
      </c>
      <c r="E78" s="35">
        <f>E79+E80</f>
        <v>0</v>
      </c>
      <c r="F78" s="35">
        <f>F79+F80</f>
        <v>0</v>
      </c>
      <c r="G78" s="35">
        <f>G79+G80</f>
        <v>0</v>
      </c>
      <c r="H78" s="402"/>
      <c r="I78" s="402"/>
    </row>
    <row r="79" spans="1:9" ht="12.75" hidden="1">
      <c r="A79" s="6"/>
      <c r="B79" s="29">
        <v>2111</v>
      </c>
      <c r="C79" s="30" t="s">
        <v>42</v>
      </c>
      <c r="D79" s="34"/>
      <c r="E79" s="34"/>
      <c r="F79" s="34"/>
      <c r="G79" s="34"/>
      <c r="H79" s="402"/>
      <c r="I79" s="402"/>
    </row>
    <row r="80" spans="1:9" ht="12.75" customHeight="1" hidden="1">
      <c r="A80" s="6"/>
      <c r="B80" s="29">
        <v>2112</v>
      </c>
      <c r="C80" s="30" t="s">
        <v>43</v>
      </c>
      <c r="D80" s="34"/>
      <c r="E80" s="34"/>
      <c r="F80" s="34"/>
      <c r="G80" s="34"/>
      <c r="H80" s="402"/>
      <c r="I80" s="402"/>
    </row>
    <row r="81" spans="1:9" ht="12.75" hidden="1">
      <c r="A81" s="6"/>
      <c r="B81" s="29">
        <v>2120</v>
      </c>
      <c r="C81" s="30" t="s">
        <v>44</v>
      </c>
      <c r="D81" s="34"/>
      <c r="E81" s="34"/>
      <c r="F81" s="34"/>
      <c r="G81" s="34"/>
      <c r="H81" s="402"/>
      <c r="I81" s="402"/>
    </row>
    <row r="82" spans="1:9" ht="12.75" hidden="1">
      <c r="A82" s="6"/>
      <c r="B82" s="27">
        <v>2200</v>
      </c>
      <c r="C82" s="28" t="s">
        <v>45</v>
      </c>
      <c r="D82" s="33">
        <f>SUM(D83:D89)+D96</f>
        <v>0</v>
      </c>
      <c r="E82" s="33">
        <f>SUM(E83:E89)+E96</f>
        <v>0</v>
      </c>
      <c r="F82" s="33">
        <f>SUM(F83:F89)+F96</f>
        <v>0</v>
      </c>
      <c r="G82" s="33">
        <f>SUM(G83:G89)+G96</f>
        <v>0</v>
      </c>
      <c r="H82" s="402"/>
      <c r="I82" s="402"/>
    </row>
    <row r="83" spans="1:9" ht="12.75" customHeight="1" hidden="1">
      <c r="A83" s="6"/>
      <c r="B83" s="29">
        <v>2210</v>
      </c>
      <c r="C83" s="30" t="s">
        <v>46</v>
      </c>
      <c r="D83" s="34"/>
      <c r="E83" s="34"/>
      <c r="F83" s="34"/>
      <c r="G83" s="34"/>
      <c r="H83" s="402"/>
      <c r="I83" s="402"/>
    </row>
    <row r="84" spans="1:9" ht="12.75" customHeight="1" hidden="1">
      <c r="A84" s="6"/>
      <c r="B84" s="29">
        <v>2220</v>
      </c>
      <c r="C84" s="30" t="s">
        <v>47</v>
      </c>
      <c r="D84" s="34"/>
      <c r="E84" s="34"/>
      <c r="F84" s="34"/>
      <c r="G84" s="34"/>
      <c r="H84" s="402"/>
      <c r="I84" s="402"/>
    </row>
    <row r="85" spans="1:9" ht="12.75" customHeight="1" hidden="1">
      <c r="A85" s="6"/>
      <c r="B85" s="29">
        <v>2230</v>
      </c>
      <c r="C85" s="30" t="s">
        <v>48</v>
      </c>
      <c r="D85" s="34"/>
      <c r="E85" s="34"/>
      <c r="F85" s="34"/>
      <c r="G85" s="34"/>
      <c r="H85" s="402"/>
      <c r="I85" s="402"/>
    </row>
    <row r="86" spans="1:9" ht="12.75" hidden="1">
      <c r="A86" s="6"/>
      <c r="B86" s="29">
        <v>2240</v>
      </c>
      <c r="C86" s="30" t="s">
        <v>49</v>
      </c>
      <c r="D86" s="34"/>
      <c r="E86" s="34"/>
      <c r="F86" s="34"/>
      <c r="G86" s="34"/>
      <c r="H86" s="402"/>
      <c r="I86" s="402"/>
    </row>
    <row r="87" spans="1:9" ht="12.75" hidden="1">
      <c r="A87" s="6"/>
      <c r="B87" s="29">
        <v>2250</v>
      </c>
      <c r="C87" s="30" t="s">
        <v>50</v>
      </c>
      <c r="D87" s="34"/>
      <c r="E87" s="34"/>
      <c r="F87" s="34"/>
      <c r="G87" s="34"/>
      <c r="H87" s="402"/>
      <c r="I87" s="402"/>
    </row>
    <row r="88" spans="1:9" ht="12.75" customHeight="1" hidden="1">
      <c r="A88" s="6"/>
      <c r="B88" s="29">
        <v>2260</v>
      </c>
      <c r="C88" s="30" t="s">
        <v>51</v>
      </c>
      <c r="D88" s="34"/>
      <c r="E88" s="34"/>
      <c r="F88" s="34"/>
      <c r="G88" s="34"/>
      <c r="H88" s="402"/>
      <c r="I88" s="402"/>
    </row>
    <row r="89" spans="1:9" ht="12.75" hidden="1">
      <c r="A89" s="6"/>
      <c r="B89" s="27">
        <v>2270</v>
      </c>
      <c r="C89" s="28" t="s">
        <v>52</v>
      </c>
      <c r="D89" s="33">
        <f>D90+D91+D92+D93+D94+D95</f>
        <v>0</v>
      </c>
      <c r="E89" s="33">
        <f>E90+E91+E92+E93+E94+E95</f>
        <v>0</v>
      </c>
      <c r="F89" s="33">
        <f>F90+F91+F92+F93+F94+F95</f>
        <v>0</v>
      </c>
      <c r="G89" s="33">
        <f>G90+G91+G92+G93+G94+G95</f>
        <v>0</v>
      </c>
      <c r="H89" s="402"/>
      <c r="I89" s="402"/>
    </row>
    <row r="90" spans="1:9" ht="12.75" hidden="1">
      <c r="A90" s="6"/>
      <c r="B90" s="29">
        <v>2271</v>
      </c>
      <c r="C90" s="30" t="s">
        <v>53</v>
      </c>
      <c r="D90" s="34"/>
      <c r="E90" s="34"/>
      <c r="F90" s="34"/>
      <c r="G90" s="34"/>
      <c r="H90" s="402"/>
      <c r="I90" s="402"/>
    </row>
    <row r="91" spans="1:9" ht="12.75" hidden="1">
      <c r="A91" s="6"/>
      <c r="B91" s="29">
        <v>2272</v>
      </c>
      <c r="C91" s="30" t="s">
        <v>54</v>
      </c>
      <c r="D91" s="34"/>
      <c r="E91" s="34"/>
      <c r="F91" s="34"/>
      <c r="G91" s="34"/>
      <c r="H91" s="402"/>
      <c r="I91" s="402"/>
    </row>
    <row r="92" spans="1:9" ht="12.75" hidden="1">
      <c r="A92" s="6"/>
      <c r="B92" s="29">
        <v>2273</v>
      </c>
      <c r="C92" s="30" t="s">
        <v>55</v>
      </c>
      <c r="D92" s="34"/>
      <c r="E92" s="34"/>
      <c r="F92" s="34"/>
      <c r="G92" s="34"/>
      <c r="H92" s="402"/>
      <c r="I92" s="402"/>
    </row>
    <row r="93" spans="1:9" ht="12.75" customHeight="1" hidden="1">
      <c r="A93" s="6"/>
      <c r="B93" s="29">
        <v>2274</v>
      </c>
      <c r="C93" s="30" t="s">
        <v>56</v>
      </c>
      <c r="D93" s="34"/>
      <c r="E93" s="34"/>
      <c r="F93" s="34"/>
      <c r="G93" s="34"/>
      <c r="H93" s="402"/>
      <c r="I93" s="402"/>
    </row>
    <row r="94" spans="1:9" ht="12.75" customHeight="1" hidden="1">
      <c r="A94" s="6"/>
      <c r="B94" s="29">
        <v>2275</v>
      </c>
      <c r="C94" s="30" t="s">
        <v>57</v>
      </c>
      <c r="D94" s="34"/>
      <c r="E94" s="34"/>
      <c r="F94" s="34"/>
      <c r="G94" s="34"/>
      <c r="H94" s="402"/>
      <c r="I94" s="402"/>
    </row>
    <row r="95" spans="1:9" ht="12.75" customHeight="1" hidden="1">
      <c r="A95" s="6"/>
      <c r="B95" s="31">
        <v>2276</v>
      </c>
      <c r="C95" s="32" t="s">
        <v>58</v>
      </c>
      <c r="D95" s="34"/>
      <c r="E95" s="34"/>
      <c r="F95" s="34"/>
      <c r="G95" s="34"/>
      <c r="H95" s="402"/>
      <c r="I95" s="402"/>
    </row>
    <row r="96" spans="1:9" ht="12.75" customHeight="1" hidden="1">
      <c r="A96" s="6"/>
      <c r="B96" s="27">
        <v>2280</v>
      </c>
      <c r="C96" s="28" t="s">
        <v>59</v>
      </c>
      <c r="D96" s="33">
        <f>D97+D98</f>
        <v>0</v>
      </c>
      <c r="E96" s="33">
        <f>E97+E98</f>
        <v>0</v>
      </c>
      <c r="F96" s="33">
        <f>F97+F98</f>
        <v>0</v>
      </c>
      <c r="G96" s="33">
        <f>G97+G98</f>
        <v>0</v>
      </c>
      <c r="H96" s="402"/>
      <c r="I96" s="402"/>
    </row>
    <row r="97" spans="1:9" ht="12.75" customHeight="1" hidden="1">
      <c r="A97" s="6"/>
      <c r="B97" s="29">
        <v>2281</v>
      </c>
      <c r="C97" s="30" t="s">
        <v>60</v>
      </c>
      <c r="D97" s="34"/>
      <c r="E97" s="34"/>
      <c r="F97" s="34"/>
      <c r="G97" s="34"/>
      <c r="H97" s="402"/>
      <c r="I97" s="402"/>
    </row>
    <row r="98" spans="1:9" ht="12.75" customHeight="1" hidden="1">
      <c r="A98" s="6"/>
      <c r="B98" s="29">
        <v>2282</v>
      </c>
      <c r="C98" s="30" t="s">
        <v>61</v>
      </c>
      <c r="D98" s="34"/>
      <c r="E98" s="34"/>
      <c r="F98" s="34"/>
      <c r="G98" s="34"/>
      <c r="H98" s="402"/>
      <c r="I98" s="402"/>
    </row>
    <row r="99" spans="1:9" ht="12.75" customHeight="1" hidden="1">
      <c r="A99" s="6"/>
      <c r="B99" s="27">
        <v>2400</v>
      </c>
      <c r="C99" s="28" t="s">
        <v>62</v>
      </c>
      <c r="D99" s="34">
        <f>D100+D101</f>
        <v>0</v>
      </c>
      <c r="E99" s="34">
        <f>E100+E101</f>
        <v>0</v>
      </c>
      <c r="F99" s="34">
        <f>F100+F101</f>
        <v>0</v>
      </c>
      <c r="G99" s="34">
        <f>G100+G101</f>
        <v>0</v>
      </c>
      <c r="H99" s="402"/>
      <c r="I99" s="402"/>
    </row>
    <row r="100" spans="1:9" ht="12.75" customHeight="1" hidden="1">
      <c r="A100" s="6"/>
      <c r="B100" s="29">
        <v>2410</v>
      </c>
      <c r="C100" s="30" t="s">
        <v>63</v>
      </c>
      <c r="D100" s="34"/>
      <c r="E100" s="34"/>
      <c r="F100" s="34"/>
      <c r="G100" s="34"/>
      <c r="H100" s="402"/>
      <c r="I100" s="402"/>
    </row>
    <row r="101" spans="1:9" ht="12.75" customHeight="1" hidden="1">
      <c r="A101" s="6"/>
      <c r="B101" s="29">
        <v>2420</v>
      </c>
      <c r="C101" s="30" t="s">
        <v>64</v>
      </c>
      <c r="D101" s="34"/>
      <c r="E101" s="34"/>
      <c r="F101" s="34"/>
      <c r="G101" s="34"/>
      <c r="H101" s="402"/>
      <c r="I101" s="402"/>
    </row>
    <row r="102" spans="1:9" ht="12.75" customHeight="1" hidden="1">
      <c r="A102" s="6"/>
      <c r="B102" s="27">
        <v>2600</v>
      </c>
      <c r="C102" s="28" t="s">
        <v>65</v>
      </c>
      <c r="D102" s="33">
        <f>D103+D104+D105</f>
        <v>0</v>
      </c>
      <c r="E102" s="33">
        <f>E103+E104+E105</f>
        <v>0</v>
      </c>
      <c r="F102" s="33">
        <f>F103+F104+F105</f>
        <v>0</v>
      </c>
      <c r="G102" s="33">
        <f>G103+G104+G105</f>
        <v>0</v>
      </c>
      <c r="H102" s="402"/>
      <c r="I102" s="402"/>
    </row>
    <row r="103" spans="1:9" ht="12.75" customHeight="1" hidden="1">
      <c r="A103" s="6"/>
      <c r="B103" s="29">
        <v>2610</v>
      </c>
      <c r="C103" s="30" t="s">
        <v>66</v>
      </c>
      <c r="D103" s="34"/>
      <c r="E103" s="34"/>
      <c r="F103" s="34"/>
      <c r="G103" s="34"/>
      <c r="H103" s="402"/>
      <c r="I103" s="402"/>
    </row>
    <row r="104" spans="1:9" ht="12.75" customHeight="1" hidden="1">
      <c r="A104" s="6"/>
      <c r="B104" s="29">
        <v>2620</v>
      </c>
      <c r="C104" s="30" t="s">
        <v>67</v>
      </c>
      <c r="D104" s="34"/>
      <c r="E104" s="34"/>
      <c r="F104" s="34"/>
      <c r="G104" s="34"/>
      <c r="H104" s="402"/>
      <c r="I104" s="402"/>
    </row>
    <row r="105" spans="1:9" ht="12.75" customHeight="1" hidden="1">
      <c r="A105" s="6"/>
      <c r="B105" s="29">
        <v>2630</v>
      </c>
      <c r="C105" s="30" t="s">
        <v>68</v>
      </c>
      <c r="D105" s="34"/>
      <c r="E105" s="34"/>
      <c r="F105" s="34"/>
      <c r="G105" s="34"/>
      <c r="H105" s="402"/>
      <c r="I105" s="402"/>
    </row>
    <row r="106" spans="1:9" ht="12.75" hidden="1">
      <c r="A106" s="6"/>
      <c r="B106" s="27">
        <v>2700</v>
      </c>
      <c r="C106" s="28" t="s">
        <v>69</v>
      </c>
      <c r="D106" s="33">
        <f>D107+D108+D109</f>
        <v>0</v>
      </c>
      <c r="E106" s="33">
        <f>E107+E108+E109</f>
        <v>0</v>
      </c>
      <c r="F106" s="33">
        <f>F107+F108+F109</f>
        <v>0</v>
      </c>
      <c r="G106" s="33">
        <f>G107+G108+G109</f>
        <v>0</v>
      </c>
      <c r="H106" s="402"/>
      <c r="I106" s="402"/>
    </row>
    <row r="107" spans="1:9" ht="12.75" customHeight="1" hidden="1">
      <c r="A107" s="6"/>
      <c r="B107" s="29">
        <v>2710</v>
      </c>
      <c r="C107" s="30" t="s">
        <v>70</v>
      </c>
      <c r="D107" s="42"/>
      <c r="E107" s="42"/>
      <c r="F107" s="42"/>
      <c r="G107" s="42"/>
      <c r="H107" s="402"/>
      <c r="I107" s="402"/>
    </row>
    <row r="108" spans="1:9" ht="12.75" customHeight="1" hidden="1">
      <c r="A108" s="6"/>
      <c r="B108" s="29">
        <v>2720</v>
      </c>
      <c r="C108" s="30" t="s">
        <v>71</v>
      </c>
      <c r="D108" s="42"/>
      <c r="E108" s="42"/>
      <c r="F108" s="34"/>
      <c r="G108" s="42"/>
      <c r="H108" s="402"/>
      <c r="I108" s="402"/>
    </row>
    <row r="109" spans="1:9" ht="12.75" hidden="1">
      <c r="A109" s="6"/>
      <c r="B109" s="29">
        <v>2730</v>
      </c>
      <c r="C109" s="30" t="s">
        <v>72</v>
      </c>
      <c r="D109" s="34"/>
      <c r="E109" s="34"/>
      <c r="F109" s="34"/>
      <c r="G109" s="42"/>
      <c r="H109" s="402"/>
      <c r="I109" s="402"/>
    </row>
    <row r="110" spans="1:9" ht="12.75" customHeight="1" hidden="1">
      <c r="A110" s="6"/>
      <c r="B110" s="27">
        <v>2800</v>
      </c>
      <c r="C110" s="28" t="s">
        <v>73</v>
      </c>
      <c r="D110" s="42"/>
      <c r="E110" s="42"/>
      <c r="F110" s="34"/>
      <c r="G110" s="42"/>
      <c r="H110" s="402"/>
      <c r="I110" s="402"/>
    </row>
    <row r="111" spans="1:9" ht="13.5" customHeight="1">
      <c r="A111" s="21"/>
      <c r="B111" s="27">
        <v>3000</v>
      </c>
      <c r="C111" s="28" t="s">
        <v>40</v>
      </c>
      <c r="D111" s="40">
        <f>D112+D126</f>
        <v>7120.780000000001</v>
      </c>
      <c r="E111" s="40">
        <f>E112+E126</f>
        <v>3464.1</v>
      </c>
      <c r="F111" s="40">
        <f>F112+F126</f>
        <v>0</v>
      </c>
      <c r="G111" s="40">
        <f>G112+G126</f>
        <v>35000</v>
      </c>
      <c r="H111" s="403" t="s">
        <v>478</v>
      </c>
      <c r="I111" s="404"/>
    </row>
    <row r="112" spans="1:10" ht="13.5" customHeight="1">
      <c r="A112" s="21"/>
      <c r="B112" s="27">
        <v>3100</v>
      </c>
      <c r="C112" s="28" t="s">
        <v>41</v>
      </c>
      <c r="D112" s="40">
        <f>D113+D114+D117+D120+D124+D125+D126</f>
        <v>7120.780000000001</v>
      </c>
      <c r="E112" s="40">
        <f>E113+E114+E117+E120+E124+E125+E126</f>
        <v>3464.1</v>
      </c>
      <c r="F112" s="40">
        <f>F113+F114+F117+F120+F124+F125+F126</f>
        <v>0</v>
      </c>
      <c r="G112" s="40">
        <f>G113+G114+G117+G120+G124+G125+G126</f>
        <v>35000</v>
      </c>
      <c r="H112" s="405"/>
      <c r="I112" s="406"/>
      <c r="J112" s="51"/>
    </row>
    <row r="113" spans="1:9" ht="13.5" customHeight="1" hidden="1">
      <c r="A113" s="21"/>
      <c r="B113" s="29">
        <v>3110</v>
      </c>
      <c r="C113" s="30" t="s">
        <v>74</v>
      </c>
      <c r="D113" s="42"/>
      <c r="E113" s="42"/>
      <c r="F113" s="41"/>
      <c r="G113" s="41"/>
      <c r="H113" s="405"/>
      <c r="I113" s="406"/>
    </row>
    <row r="114" spans="1:9" ht="12.75" customHeight="1">
      <c r="A114" s="21"/>
      <c r="B114" s="29">
        <v>3120</v>
      </c>
      <c r="C114" s="30" t="s">
        <v>75</v>
      </c>
      <c r="D114" s="40">
        <f>D115+D116</f>
        <v>169.56</v>
      </c>
      <c r="E114" s="40">
        <f>E115+E116</f>
        <v>3400</v>
      </c>
      <c r="F114" s="40">
        <f>F115+F116</f>
        <v>0</v>
      </c>
      <c r="G114" s="40">
        <f>G115+G116</f>
        <v>35000</v>
      </c>
      <c r="H114" s="405"/>
      <c r="I114" s="406"/>
    </row>
    <row r="115" spans="1:9" ht="12.75" customHeight="1" hidden="1">
      <c r="A115" s="21"/>
      <c r="B115" s="29">
        <v>3121</v>
      </c>
      <c r="C115" s="30" t="s">
        <v>76</v>
      </c>
      <c r="D115" s="41"/>
      <c r="E115" s="41"/>
      <c r="F115" s="41"/>
      <c r="G115" s="41"/>
      <c r="H115" s="405"/>
      <c r="I115" s="406"/>
    </row>
    <row r="116" spans="1:9" ht="12.75" customHeight="1">
      <c r="A116" s="21"/>
      <c r="B116" s="29">
        <v>3122</v>
      </c>
      <c r="C116" s="30" t="s">
        <v>77</v>
      </c>
      <c r="D116" s="41">
        <f>'2019-3 СВОД'!D1505</f>
        <v>169.56</v>
      </c>
      <c r="E116" s="41">
        <f>'2019-3 СВОД'!E1505</f>
        <v>3400</v>
      </c>
      <c r="F116" s="41">
        <f>'2019-3 СВОД'!F1505</f>
        <v>0</v>
      </c>
      <c r="G116" s="41">
        <f>'2019-3 СВОД'!G1505</f>
        <v>35000</v>
      </c>
      <c r="H116" s="405"/>
      <c r="I116" s="406"/>
    </row>
    <row r="117" spans="1:9" ht="12.75" customHeight="1" hidden="1">
      <c r="A117" s="21"/>
      <c r="B117" s="29">
        <v>3130</v>
      </c>
      <c r="C117" s="30" t="s">
        <v>78</v>
      </c>
      <c r="D117" s="40">
        <f>D118+D119</f>
        <v>0</v>
      </c>
      <c r="E117" s="40">
        <f>E118+E119</f>
        <v>0</v>
      </c>
      <c r="F117" s="40">
        <f>F118+F119</f>
        <v>0</v>
      </c>
      <c r="G117" s="40">
        <f>G118+G119</f>
        <v>0</v>
      </c>
      <c r="H117" s="405"/>
      <c r="I117" s="406"/>
    </row>
    <row r="118" spans="1:9" ht="12.75" customHeight="1" hidden="1">
      <c r="A118" s="21"/>
      <c r="B118" s="29">
        <v>3131</v>
      </c>
      <c r="C118" s="30" t="s">
        <v>79</v>
      </c>
      <c r="D118" s="41"/>
      <c r="E118" s="41"/>
      <c r="F118" s="41"/>
      <c r="G118" s="41"/>
      <c r="H118" s="405"/>
      <c r="I118" s="406"/>
    </row>
    <row r="119" spans="1:9" ht="12.75" customHeight="1" hidden="1">
      <c r="A119" s="21"/>
      <c r="B119" s="29">
        <v>3132</v>
      </c>
      <c r="C119" s="30" t="s">
        <v>80</v>
      </c>
      <c r="D119" s="41"/>
      <c r="E119" s="41"/>
      <c r="F119" s="41"/>
      <c r="G119" s="41"/>
      <c r="H119" s="405"/>
      <c r="I119" s="406"/>
    </row>
    <row r="120" spans="1:9" ht="12.75" customHeight="1">
      <c r="A120" s="21"/>
      <c r="B120" s="29">
        <v>3140</v>
      </c>
      <c r="C120" s="30" t="s">
        <v>81</v>
      </c>
      <c r="D120" s="40">
        <f>D121+D122+D123</f>
        <v>6951.22</v>
      </c>
      <c r="E120" s="40">
        <f>E121+E122+E123</f>
        <v>64.1</v>
      </c>
      <c r="F120" s="40">
        <f>F121+F122+F123</f>
        <v>0</v>
      </c>
      <c r="G120" s="40">
        <f>G121+G122+G123</f>
        <v>0</v>
      </c>
      <c r="H120" s="405"/>
      <c r="I120" s="406"/>
    </row>
    <row r="121" spans="1:9" ht="12.75" customHeight="1" hidden="1">
      <c r="A121" s="21"/>
      <c r="B121" s="29">
        <v>3141</v>
      </c>
      <c r="C121" s="30" t="s">
        <v>82</v>
      </c>
      <c r="D121" s="41"/>
      <c r="E121" s="41"/>
      <c r="F121" s="41"/>
      <c r="G121" s="41"/>
      <c r="H121" s="405"/>
      <c r="I121" s="406"/>
    </row>
    <row r="122" spans="1:9" ht="12.75" customHeight="1">
      <c r="A122" s="21"/>
      <c r="B122" s="29">
        <v>3142</v>
      </c>
      <c r="C122" s="30" t="s">
        <v>83</v>
      </c>
      <c r="D122" s="41">
        <f>'2019-3 СВОД'!D1511</f>
        <v>6951.22</v>
      </c>
      <c r="E122" s="41">
        <f>'2019-3 СВОД'!E1511</f>
        <v>64.1</v>
      </c>
      <c r="F122" s="41">
        <f>'2019-3 СВОД'!F1511</f>
        <v>0</v>
      </c>
      <c r="G122" s="41">
        <f>'2019-3 СВОД'!G1511</f>
        <v>0</v>
      </c>
      <c r="H122" s="407"/>
      <c r="I122" s="408"/>
    </row>
    <row r="123" spans="1:9" ht="12.75" customHeight="1" hidden="1">
      <c r="A123" s="21"/>
      <c r="B123" s="29">
        <v>3143</v>
      </c>
      <c r="C123" s="30" t="s">
        <v>84</v>
      </c>
      <c r="D123" s="41"/>
      <c r="E123" s="41"/>
      <c r="F123" s="41"/>
      <c r="G123" s="41"/>
      <c r="H123" s="402"/>
      <c r="I123" s="402"/>
    </row>
    <row r="124" spans="1:9" ht="12.75" customHeight="1" hidden="1">
      <c r="A124" s="21"/>
      <c r="B124" s="29">
        <v>3150</v>
      </c>
      <c r="C124" s="30" t="s">
        <v>85</v>
      </c>
      <c r="D124" s="41"/>
      <c r="E124" s="41"/>
      <c r="F124" s="41"/>
      <c r="G124" s="41"/>
      <c r="H124" s="402"/>
      <c r="I124" s="402"/>
    </row>
    <row r="125" spans="1:9" ht="12.75" customHeight="1" hidden="1">
      <c r="A125" s="21"/>
      <c r="B125" s="29">
        <v>3160</v>
      </c>
      <c r="C125" s="30" t="s">
        <v>86</v>
      </c>
      <c r="D125" s="41"/>
      <c r="E125" s="41"/>
      <c r="F125" s="41"/>
      <c r="G125" s="41"/>
      <c r="H125" s="402"/>
      <c r="I125" s="402"/>
    </row>
    <row r="126" spans="1:9" ht="12.75" customHeight="1" hidden="1">
      <c r="A126" s="21"/>
      <c r="B126" s="27">
        <v>3200</v>
      </c>
      <c r="C126" s="28" t="s">
        <v>87</v>
      </c>
      <c r="D126" s="40">
        <f>D127+D128+D129+D130</f>
        <v>0</v>
      </c>
      <c r="E126" s="40">
        <f>E127+E128+E129+E130</f>
        <v>0</v>
      </c>
      <c r="F126" s="40">
        <f>F127+F128+F129+F130</f>
        <v>0</v>
      </c>
      <c r="G126" s="40">
        <f>G127+G128+G129+G130</f>
        <v>0</v>
      </c>
      <c r="H126" s="402"/>
      <c r="I126" s="402"/>
    </row>
    <row r="127" spans="1:9" ht="12.75" customHeight="1" hidden="1">
      <c r="A127" s="21"/>
      <c r="B127" s="29">
        <v>3210</v>
      </c>
      <c r="C127" s="30" t="s">
        <v>88</v>
      </c>
      <c r="D127" s="41"/>
      <c r="E127" s="41"/>
      <c r="F127" s="41"/>
      <c r="G127" s="41"/>
      <c r="H127" s="402"/>
      <c r="I127" s="402"/>
    </row>
    <row r="128" spans="1:9" ht="12.75" customHeight="1" hidden="1">
      <c r="A128" s="21"/>
      <c r="B128" s="29">
        <v>3220</v>
      </c>
      <c r="C128" s="30" t="s">
        <v>89</v>
      </c>
      <c r="D128" s="41"/>
      <c r="E128" s="41"/>
      <c r="F128" s="41"/>
      <c r="G128" s="41"/>
      <c r="H128" s="402"/>
      <c r="I128" s="402"/>
    </row>
    <row r="129" spans="1:9" ht="12.75" customHeight="1" hidden="1">
      <c r="A129" s="21"/>
      <c r="B129" s="29">
        <v>3230</v>
      </c>
      <c r="C129" s="30" t="s">
        <v>90</v>
      </c>
      <c r="D129" s="41"/>
      <c r="E129" s="41"/>
      <c r="F129" s="41"/>
      <c r="G129" s="41"/>
      <c r="H129" s="402"/>
      <c r="I129" s="402"/>
    </row>
    <row r="130" spans="1:9" ht="12.75" customHeight="1" hidden="1">
      <c r="A130" s="21"/>
      <c r="B130" s="29">
        <v>3240</v>
      </c>
      <c r="C130" s="30" t="s">
        <v>91</v>
      </c>
      <c r="D130" s="41"/>
      <c r="E130" s="41"/>
      <c r="F130" s="41"/>
      <c r="G130" s="41"/>
      <c r="H130" s="402"/>
      <c r="I130" s="402"/>
    </row>
    <row r="131" spans="1:9" s="19" customFormat="1" ht="13.5" customHeight="1">
      <c r="A131" s="7"/>
      <c r="B131" s="7"/>
      <c r="C131" s="20" t="s">
        <v>3</v>
      </c>
      <c r="D131" s="34">
        <f>D76+D111</f>
        <v>7120.780000000001</v>
      </c>
      <c r="E131" s="34">
        <f>E76+E111</f>
        <v>3464.1</v>
      </c>
      <c r="F131" s="34">
        <f>F76+F111</f>
        <v>0</v>
      </c>
      <c r="G131" s="34">
        <f>G76+G111</f>
        <v>35000</v>
      </c>
      <c r="H131" s="402"/>
      <c r="I131" s="402"/>
    </row>
    <row r="132" spans="1:8" ht="15">
      <c r="A132" s="115" t="s">
        <v>209</v>
      </c>
      <c r="B132" s="115" t="s">
        <v>209</v>
      </c>
      <c r="C132" s="115"/>
      <c r="D132" s="115"/>
      <c r="E132" s="115"/>
      <c r="F132" s="115"/>
      <c r="G132" s="115"/>
      <c r="H132" s="121"/>
    </row>
    <row r="133" spans="1:9" ht="15" customHeight="1">
      <c r="A133" s="444" t="s">
        <v>25</v>
      </c>
      <c r="B133" s="444"/>
      <c r="C133" s="444"/>
      <c r="D133" s="444"/>
      <c r="E133" s="444"/>
      <c r="F133" s="444"/>
      <c r="G133" s="444"/>
      <c r="H133" s="444"/>
      <c r="I133" s="444"/>
    </row>
    <row r="134" spans="1:9" ht="30" customHeight="1">
      <c r="A134" s="14" t="s">
        <v>20</v>
      </c>
      <c r="B134" s="8" t="s">
        <v>0</v>
      </c>
      <c r="C134" s="14" t="s">
        <v>1</v>
      </c>
      <c r="D134" s="14" t="s">
        <v>14</v>
      </c>
      <c r="E134" s="441" t="s">
        <v>15</v>
      </c>
      <c r="F134" s="441"/>
      <c r="G134" s="441"/>
      <c r="H134" s="14" t="s">
        <v>214</v>
      </c>
      <c r="I134" s="14" t="s">
        <v>215</v>
      </c>
    </row>
    <row r="135" spans="1:9" ht="13.5" thickBot="1">
      <c r="A135" s="17">
        <v>1</v>
      </c>
      <c r="B135" s="17">
        <v>1</v>
      </c>
      <c r="C135" s="38">
        <v>2</v>
      </c>
      <c r="D135" s="38">
        <v>3</v>
      </c>
      <c r="E135" s="427">
        <v>4</v>
      </c>
      <c r="F135" s="427"/>
      <c r="G135" s="427"/>
      <c r="H135" s="38">
        <v>5</v>
      </c>
      <c r="I135" s="38">
        <v>6</v>
      </c>
    </row>
    <row r="136" spans="1:9" s="55" customFormat="1" ht="13.5" thickTop="1">
      <c r="A136" s="54"/>
      <c r="B136" s="167">
        <f>B17</f>
        <v>1117320</v>
      </c>
      <c r="C136" s="169" t="str">
        <f>C17</f>
        <v>Програма Будівництво об'єктів соціально-культурного призначення</v>
      </c>
      <c r="D136" s="180"/>
      <c r="E136" s="451"/>
      <c r="F136" s="451"/>
      <c r="G136" s="451"/>
      <c r="H136" s="180"/>
      <c r="I136" s="180"/>
    </row>
    <row r="137" spans="1:9" s="153" customFormat="1" ht="12.75">
      <c r="A137" s="68"/>
      <c r="B137" s="69">
        <f>B18</f>
        <v>1117323</v>
      </c>
      <c r="C137" s="213" t="str">
        <f>C18</f>
        <v>Підпрограма Будівництво установ та закладів соціальної сфери</v>
      </c>
      <c r="D137" s="214"/>
      <c r="E137" s="214"/>
      <c r="F137" s="214"/>
      <c r="G137" s="214"/>
      <c r="H137" s="214"/>
      <c r="I137" s="181"/>
    </row>
    <row r="138" spans="1:9" s="153" customFormat="1" ht="12.75">
      <c r="A138" s="68"/>
      <c r="B138" s="223"/>
      <c r="C138" s="556" t="s">
        <v>367</v>
      </c>
      <c r="D138" s="557"/>
      <c r="E138" s="557"/>
      <c r="F138" s="557"/>
      <c r="G138" s="456"/>
      <c r="H138" s="456"/>
      <c r="I138" s="457"/>
    </row>
    <row r="139" spans="1:9" s="78" customFormat="1" ht="12.75">
      <c r="A139" s="175"/>
      <c r="B139" s="224"/>
      <c r="C139" s="217" t="s">
        <v>342</v>
      </c>
      <c r="D139" s="218"/>
      <c r="E139" s="558"/>
      <c r="F139" s="559"/>
      <c r="G139" s="559"/>
      <c r="H139" s="215"/>
      <c r="I139" s="216"/>
    </row>
    <row r="140" spans="1:9" s="78" customFormat="1" ht="12.75">
      <c r="A140" s="175"/>
      <c r="B140" s="224" t="s">
        <v>353</v>
      </c>
      <c r="C140" s="219" t="s">
        <v>343</v>
      </c>
      <c r="D140" s="220" t="s">
        <v>344</v>
      </c>
      <c r="E140" s="555" t="s">
        <v>477</v>
      </c>
      <c r="F140" s="555"/>
      <c r="G140" s="555"/>
      <c r="H140" s="215"/>
      <c r="I140" s="221">
        <v>39743.375</v>
      </c>
    </row>
    <row r="141" spans="1:9" s="78" customFormat="1" ht="12.75">
      <c r="A141" s="175"/>
      <c r="B141" s="224"/>
      <c r="C141" s="217" t="s">
        <v>345</v>
      </c>
      <c r="D141" s="218"/>
      <c r="E141" s="554"/>
      <c r="F141" s="554"/>
      <c r="G141" s="554"/>
      <c r="H141" s="215"/>
      <c r="I141" s="218"/>
    </row>
    <row r="142" spans="1:9" s="78" customFormat="1" ht="12.75">
      <c r="A142" s="175"/>
      <c r="B142" s="224" t="s">
        <v>354</v>
      </c>
      <c r="C142" s="219" t="s">
        <v>346</v>
      </c>
      <c r="D142" s="220" t="s">
        <v>347</v>
      </c>
      <c r="E142" s="555" t="s">
        <v>477</v>
      </c>
      <c r="F142" s="555"/>
      <c r="G142" s="555"/>
      <c r="H142" s="215"/>
      <c r="I142" s="220">
        <v>1</v>
      </c>
    </row>
    <row r="143" spans="1:9" s="78" customFormat="1" ht="12.75">
      <c r="A143" s="175"/>
      <c r="B143" s="224"/>
      <c r="C143" s="217" t="s">
        <v>348</v>
      </c>
      <c r="D143" s="218"/>
      <c r="E143" s="554"/>
      <c r="F143" s="554"/>
      <c r="G143" s="554"/>
      <c r="H143" s="215"/>
      <c r="I143" s="218"/>
    </row>
    <row r="144" spans="1:9" s="78" customFormat="1" ht="12.75">
      <c r="A144" s="175"/>
      <c r="B144" s="224" t="s">
        <v>355</v>
      </c>
      <c r="C144" s="219" t="s">
        <v>349</v>
      </c>
      <c r="D144" s="220" t="s">
        <v>344</v>
      </c>
      <c r="E144" s="555" t="s">
        <v>350</v>
      </c>
      <c r="F144" s="555"/>
      <c r="G144" s="555"/>
      <c r="H144" s="190"/>
      <c r="I144" s="221">
        <f>I140</f>
        <v>39743.375</v>
      </c>
    </row>
    <row r="145" spans="1:9" s="78" customFormat="1" ht="12.75">
      <c r="A145" s="175"/>
      <c r="B145" s="224"/>
      <c r="C145" s="217" t="s">
        <v>351</v>
      </c>
      <c r="D145" s="220"/>
      <c r="E145" s="555"/>
      <c r="F145" s="555"/>
      <c r="G145" s="555"/>
      <c r="H145" s="190"/>
      <c r="I145" s="220"/>
    </row>
    <row r="146" spans="1:9" s="78" customFormat="1" ht="12.75">
      <c r="A146" s="175"/>
      <c r="B146" s="224" t="s">
        <v>356</v>
      </c>
      <c r="C146" s="222" t="s">
        <v>352</v>
      </c>
      <c r="D146" s="220" t="s">
        <v>123</v>
      </c>
      <c r="E146" s="555" t="s">
        <v>350</v>
      </c>
      <c r="F146" s="555"/>
      <c r="G146" s="555"/>
      <c r="H146" s="190"/>
      <c r="I146" s="220">
        <v>100</v>
      </c>
    </row>
    <row r="147" spans="1:9" s="78" customFormat="1" ht="12.75">
      <c r="A147" s="175"/>
      <c r="B147" s="69">
        <f>B75</f>
        <v>1117325</v>
      </c>
      <c r="C147" s="504" t="str">
        <f>C75</f>
        <v>Підпрограма Будівництво споруд, установ та закладів фізичної культури і спорту</v>
      </c>
      <c r="D147" s="505"/>
      <c r="E147" s="505"/>
      <c r="F147" s="505"/>
      <c r="G147" s="505"/>
      <c r="H147" s="505"/>
      <c r="I147" s="506"/>
    </row>
    <row r="148" spans="1:9" s="153" customFormat="1" ht="12.75">
      <c r="A148" s="68"/>
      <c r="B148" s="223"/>
      <c r="C148" s="455" t="s">
        <v>368</v>
      </c>
      <c r="D148" s="456"/>
      <c r="E148" s="456"/>
      <c r="F148" s="456"/>
      <c r="G148" s="456"/>
      <c r="H148" s="456"/>
      <c r="I148" s="457"/>
    </row>
    <row r="149" spans="1:9" s="60" customFormat="1" ht="12.75">
      <c r="A149" s="58"/>
      <c r="B149" s="224"/>
      <c r="C149" s="217" t="s">
        <v>342</v>
      </c>
      <c r="D149" s="218"/>
      <c r="E149" s="558"/>
      <c r="F149" s="559"/>
      <c r="G149" s="559"/>
      <c r="H149" s="215"/>
      <c r="I149" s="216"/>
    </row>
    <row r="150" spans="1:9" s="60" customFormat="1" ht="12.75">
      <c r="A150" s="58"/>
      <c r="B150" s="224" t="s">
        <v>353</v>
      </c>
      <c r="C150" s="219" t="s">
        <v>363</v>
      </c>
      <c r="D150" s="220" t="s">
        <v>344</v>
      </c>
      <c r="E150" s="555" t="s">
        <v>477</v>
      </c>
      <c r="F150" s="555"/>
      <c r="G150" s="555"/>
      <c r="H150" s="215"/>
      <c r="I150" s="221">
        <v>25000</v>
      </c>
    </row>
    <row r="151" spans="1:9" s="60" customFormat="1" ht="12.75">
      <c r="A151" s="58"/>
      <c r="B151" s="224"/>
      <c r="C151" s="217" t="s">
        <v>345</v>
      </c>
      <c r="D151" s="218"/>
      <c r="E151" s="554"/>
      <c r="F151" s="554"/>
      <c r="G151" s="554"/>
      <c r="H151" s="215"/>
      <c r="I151" s="218"/>
    </row>
    <row r="152" spans="1:9" s="60" customFormat="1" ht="12.75">
      <c r="A152" s="58"/>
      <c r="B152" s="224" t="s">
        <v>354</v>
      </c>
      <c r="C152" s="219" t="s">
        <v>364</v>
      </c>
      <c r="D152" s="220" t="s">
        <v>347</v>
      </c>
      <c r="E152" s="555" t="s">
        <v>477</v>
      </c>
      <c r="F152" s="555"/>
      <c r="G152" s="555"/>
      <c r="H152" s="215"/>
      <c r="I152" s="220">
        <v>1</v>
      </c>
    </row>
    <row r="153" spans="1:9" s="60" customFormat="1" ht="12.75">
      <c r="A153" s="58"/>
      <c r="B153" s="224"/>
      <c r="C153" s="217" t="s">
        <v>348</v>
      </c>
      <c r="D153" s="218"/>
      <c r="E153" s="554"/>
      <c r="F153" s="554"/>
      <c r="G153" s="554"/>
      <c r="H153" s="215"/>
      <c r="I153" s="218"/>
    </row>
    <row r="154" spans="1:9" s="60" customFormat="1" ht="12.75" customHeight="1">
      <c r="A154" s="58"/>
      <c r="B154" s="224" t="s">
        <v>355</v>
      </c>
      <c r="C154" s="219" t="s">
        <v>365</v>
      </c>
      <c r="D154" s="220" t="s">
        <v>344</v>
      </c>
      <c r="E154" s="555" t="s">
        <v>350</v>
      </c>
      <c r="F154" s="555"/>
      <c r="G154" s="555"/>
      <c r="H154" s="190"/>
      <c r="I154" s="221">
        <f>I150</f>
        <v>25000</v>
      </c>
    </row>
    <row r="155" spans="1:9" s="60" customFormat="1" ht="12.75">
      <c r="A155" s="58"/>
      <c r="B155" s="224"/>
      <c r="C155" s="217" t="s">
        <v>351</v>
      </c>
      <c r="D155" s="220"/>
      <c r="E155" s="555"/>
      <c r="F155" s="555"/>
      <c r="G155" s="555"/>
      <c r="H155" s="190"/>
      <c r="I155" s="220"/>
    </row>
    <row r="156" spans="1:9" s="60" customFormat="1" ht="12.75" customHeight="1">
      <c r="A156" s="58"/>
      <c r="B156" s="224" t="s">
        <v>356</v>
      </c>
      <c r="C156" s="222" t="s">
        <v>366</v>
      </c>
      <c r="D156" s="220" t="s">
        <v>123</v>
      </c>
      <c r="E156" s="555" t="s">
        <v>350</v>
      </c>
      <c r="F156" s="555"/>
      <c r="G156" s="555"/>
      <c r="H156" s="190"/>
      <c r="I156" s="220">
        <v>100</v>
      </c>
    </row>
    <row r="157" ht="12.75">
      <c r="A157" s="22"/>
    </row>
    <row r="158" spans="1:9" ht="30.75" customHeight="1">
      <c r="A158" s="444" t="s">
        <v>27</v>
      </c>
      <c r="B158" s="444"/>
      <c r="C158" s="444"/>
      <c r="D158" s="444"/>
      <c r="E158" s="444"/>
      <c r="F158" s="444"/>
      <c r="G158" s="444"/>
      <c r="H158" s="444"/>
      <c r="I158" s="444"/>
    </row>
    <row r="159" spans="1:9" ht="15">
      <c r="A159" s="446"/>
      <c r="B159" s="446"/>
      <c r="C159" s="446"/>
      <c r="D159" s="446"/>
      <c r="E159" s="446"/>
      <c r="F159" s="446"/>
      <c r="G159" s="446"/>
      <c r="H159" s="446"/>
      <c r="I159" s="446"/>
    </row>
    <row r="160" spans="1:9" ht="15">
      <c r="A160" s="446"/>
      <c r="B160" s="446"/>
      <c r="C160" s="446"/>
      <c r="D160" s="446"/>
      <c r="E160" s="446"/>
      <c r="F160" s="446"/>
      <c r="G160" s="446"/>
      <c r="H160" s="446"/>
      <c r="I160" s="446"/>
    </row>
    <row r="161" spans="1:9" ht="15">
      <c r="A161" s="442" t="s">
        <v>210</v>
      </c>
      <c r="B161" s="442"/>
      <c r="C161" s="442"/>
      <c r="D161" s="442"/>
      <c r="E161" s="442"/>
      <c r="F161" s="442"/>
      <c r="G161" s="442"/>
      <c r="H161" s="442"/>
      <c r="I161" s="442"/>
    </row>
    <row r="162" ht="12.75">
      <c r="I162" s="2" t="s">
        <v>4</v>
      </c>
    </row>
    <row r="163" spans="1:9" s="19" customFormat="1" ht="12.75">
      <c r="A163" s="443" t="s">
        <v>3</v>
      </c>
      <c r="B163" s="443"/>
      <c r="C163" s="23"/>
      <c r="D163" s="18"/>
      <c r="E163" s="18"/>
      <c r="F163" s="18"/>
      <c r="G163" s="18"/>
      <c r="H163" s="443"/>
      <c r="I163" s="443"/>
    </row>
    <row r="164" ht="12.75">
      <c r="A164" s="3"/>
    </row>
    <row r="165" spans="1:9" ht="30.75" customHeight="1">
      <c r="A165" s="444" t="s">
        <v>211</v>
      </c>
      <c r="B165" s="444"/>
      <c r="C165" s="444"/>
      <c r="D165" s="444"/>
      <c r="E165" s="444"/>
      <c r="F165" s="444"/>
      <c r="G165" s="444"/>
      <c r="H165" s="444"/>
      <c r="I165" s="444"/>
    </row>
    <row r="166" ht="12.75">
      <c r="I166" s="2" t="s">
        <v>4</v>
      </c>
    </row>
    <row r="167" spans="1:9" ht="36.75" customHeight="1">
      <c r="A167" s="441" t="s">
        <v>23</v>
      </c>
      <c r="B167" s="441"/>
      <c r="C167" s="441" t="s">
        <v>1</v>
      </c>
      <c r="D167" s="441" t="s">
        <v>7</v>
      </c>
      <c r="E167" s="441"/>
      <c r="F167" s="441" t="s">
        <v>178</v>
      </c>
      <c r="G167" s="441"/>
      <c r="H167" s="441" t="s">
        <v>212</v>
      </c>
      <c r="I167" s="441"/>
    </row>
    <row r="168" spans="1:9" ht="36" customHeight="1">
      <c r="A168" s="441"/>
      <c r="B168" s="441"/>
      <c r="C168" s="441"/>
      <c r="D168" s="14" t="s">
        <v>28</v>
      </c>
      <c r="E168" s="14" t="s">
        <v>36</v>
      </c>
      <c r="F168" s="14" t="s">
        <v>28</v>
      </c>
      <c r="G168" s="14" t="s">
        <v>36</v>
      </c>
      <c r="H168" s="441"/>
      <c r="I168" s="441"/>
    </row>
    <row r="169" spans="1:9" ht="13.5" thickBot="1">
      <c r="A169" s="445">
        <v>1</v>
      </c>
      <c r="B169" s="445"/>
      <c r="C169" s="17">
        <v>2</v>
      </c>
      <c r="D169" s="16">
        <v>3</v>
      </c>
      <c r="E169" s="16">
        <v>4</v>
      </c>
      <c r="F169" s="16">
        <v>5</v>
      </c>
      <c r="G169" s="16">
        <v>6</v>
      </c>
      <c r="H169" s="445">
        <v>7</v>
      </c>
      <c r="I169" s="445"/>
    </row>
    <row r="170" spans="1:9" ht="13.5" thickTop="1">
      <c r="A170" s="447"/>
      <c r="B170" s="447"/>
      <c r="C170" s="15"/>
      <c r="D170" s="25"/>
      <c r="E170" s="25"/>
      <c r="F170" s="25"/>
      <c r="G170" s="25"/>
      <c r="H170" s="440"/>
      <c r="I170" s="440"/>
    </row>
    <row r="171" spans="1:9" ht="12.75">
      <c r="A171" s="402"/>
      <c r="B171" s="402"/>
      <c r="C171" s="12"/>
      <c r="D171" s="11"/>
      <c r="E171" s="11"/>
      <c r="F171" s="11"/>
      <c r="G171" s="11"/>
      <c r="H171" s="427"/>
      <c r="I171" s="427"/>
    </row>
    <row r="172" spans="1:9" ht="12.75">
      <c r="A172" s="402"/>
      <c r="B172" s="402"/>
      <c r="C172" s="12"/>
      <c r="D172" s="11"/>
      <c r="E172" s="11"/>
      <c r="F172" s="11"/>
      <c r="G172" s="11"/>
      <c r="H172" s="427"/>
      <c r="I172" s="427"/>
    </row>
    <row r="173" spans="1:9" ht="12.75">
      <c r="A173" s="402"/>
      <c r="B173" s="402"/>
      <c r="C173" s="12"/>
      <c r="D173" s="11"/>
      <c r="E173" s="11"/>
      <c r="F173" s="11"/>
      <c r="G173" s="11"/>
      <c r="H173" s="427"/>
      <c r="I173" s="427"/>
    </row>
    <row r="174" spans="1:9" ht="12.75">
      <c r="A174" s="402"/>
      <c r="B174" s="402"/>
      <c r="C174" s="12"/>
      <c r="D174" s="11"/>
      <c r="E174" s="11"/>
      <c r="F174" s="11"/>
      <c r="G174" s="11"/>
      <c r="H174" s="427"/>
      <c r="I174" s="427"/>
    </row>
    <row r="175" ht="15">
      <c r="A175" s="1"/>
    </row>
    <row r="176" spans="1:9" ht="14.25" customHeight="1">
      <c r="A176" s="444" t="s">
        <v>25</v>
      </c>
      <c r="B176" s="444"/>
      <c r="C176" s="444"/>
      <c r="D176" s="444"/>
      <c r="E176" s="444"/>
      <c r="F176" s="444"/>
      <c r="G176" s="444"/>
      <c r="H176" s="444"/>
      <c r="I176" s="444"/>
    </row>
    <row r="177" spans="1:9" ht="72.75" customHeight="1">
      <c r="A177" s="14" t="s">
        <v>20</v>
      </c>
      <c r="B177" s="8" t="s">
        <v>0</v>
      </c>
      <c r="C177" s="14" t="s">
        <v>1</v>
      </c>
      <c r="D177" s="14" t="s">
        <v>14</v>
      </c>
      <c r="E177" s="14" t="s">
        <v>15</v>
      </c>
      <c r="F177" s="14" t="s">
        <v>29</v>
      </c>
      <c r="G177" s="14" t="s">
        <v>30</v>
      </c>
      <c r="H177" s="14" t="s">
        <v>31</v>
      </c>
      <c r="I177" s="14" t="s">
        <v>32</v>
      </c>
    </row>
    <row r="178" spans="1:9" ht="13.5" thickBot="1">
      <c r="A178" s="17">
        <v>1</v>
      </c>
      <c r="B178" s="17">
        <v>2</v>
      </c>
      <c r="C178" s="16">
        <v>3</v>
      </c>
      <c r="D178" s="16">
        <v>4</v>
      </c>
      <c r="E178" s="16">
        <v>5</v>
      </c>
      <c r="F178" s="16">
        <v>6</v>
      </c>
      <c r="G178" s="16">
        <v>7</v>
      </c>
      <c r="H178" s="16">
        <v>8</v>
      </c>
      <c r="I178" s="16">
        <v>9</v>
      </c>
    </row>
    <row r="179" spans="1:9" ht="13.5" hidden="1" thickTop="1">
      <c r="A179" s="24"/>
      <c r="B179" s="26"/>
      <c r="C179" s="26" t="s">
        <v>10</v>
      </c>
      <c r="D179" s="24"/>
      <c r="E179" s="24"/>
      <c r="F179" s="24"/>
      <c r="G179" s="24"/>
      <c r="H179" s="24"/>
      <c r="I179" s="24"/>
    </row>
    <row r="180" spans="1:9" ht="13.5" hidden="1" thickTop="1">
      <c r="A180" s="18"/>
      <c r="B180" s="12"/>
      <c r="C180" s="12" t="s">
        <v>26</v>
      </c>
      <c r="D180" s="18"/>
      <c r="E180" s="18"/>
      <c r="F180" s="18"/>
      <c r="G180" s="18"/>
      <c r="H180" s="18"/>
      <c r="I180" s="18"/>
    </row>
    <row r="181" spans="1:9" ht="13.5" hidden="1" thickTop="1">
      <c r="A181" s="18"/>
      <c r="B181" s="12"/>
      <c r="C181" s="12" t="s">
        <v>16</v>
      </c>
      <c r="D181" s="18"/>
      <c r="E181" s="18"/>
      <c r="F181" s="18"/>
      <c r="G181" s="18"/>
      <c r="H181" s="18"/>
      <c r="I181" s="18"/>
    </row>
    <row r="182" spans="1:9" ht="13.5" hidden="1" thickTop="1">
      <c r="A182" s="18"/>
      <c r="B182" s="12"/>
      <c r="C182" s="12" t="s">
        <v>2</v>
      </c>
      <c r="D182" s="18"/>
      <c r="E182" s="18"/>
      <c r="F182" s="18"/>
      <c r="G182" s="18"/>
      <c r="H182" s="18"/>
      <c r="I182" s="18"/>
    </row>
    <row r="183" spans="1:9" ht="13.5" hidden="1" thickTop="1">
      <c r="A183" s="18"/>
      <c r="B183" s="12"/>
      <c r="C183" s="12" t="s">
        <v>17</v>
      </c>
      <c r="D183" s="18"/>
      <c r="E183" s="18"/>
      <c r="F183" s="18"/>
      <c r="G183" s="18"/>
      <c r="H183" s="18"/>
      <c r="I183" s="18"/>
    </row>
    <row r="184" spans="1:9" ht="13.5" hidden="1" thickTop="1">
      <c r="A184" s="18"/>
      <c r="B184" s="12"/>
      <c r="C184" s="12" t="s">
        <v>2</v>
      </c>
      <c r="D184" s="18"/>
      <c r="E184" s="18"/>
      <c r="F184" s="18"/>
      <c r="G184" s="18"/>
      <c r="H184" s="18"/>
      <c r="I184" s="18"/>
    </row>
    <row r="185" spans="1:9" ht="13.5" hidden="1" thickTop="1">
      <c r="A185" s="18"/>
      <c r="B185" s="12"/>
      <c r="C185" s="12" t="s">
        <v>18</v>
      </c>
      <c r="D185" s="18"/>
      <c r="E185" s="18"/>
      <c r="F185" s="18"/>
      <c r="G185" s="18"/>
      <c r="H185" s="18"/>
      <c r="I185" s="18"/>
    </row>
    <row r="186" spans="1:9" ht="13.5" hidden="1" thickTop="1">
      <c r="A186" s="18"/>
      <c r="B186" s="12"/>
      <c r="C186" s="12" t="s">
        <v>33</v>
      </c>
      <c r="D186" s="18"/>
      <c r="E186" s="18"/>
      <c r="F186" s="18"/>
      <c r="G186" s="18"/>
      <c r="H186" s="18"/>
      <c r="I186" s="18"/>
    </row>
    <row r="187" spans="1:9" ht="13.5" hidden="1" thickTop="1">
      <c r="A187" s="18"/>
      <c r="B187" s="12"/>
      <c r="C187" s="12" t="s">
        <v>19</v>
      </c>
      <c r="D187" s="18"/>
      <c r="E187" s="18"/>
      <c r="F187" s="18"/>
      <c r="G187" s="18"/>
      <c r="H187" s="18"/>
      <c r="I187" s="18"/>
    </row>
    <row r="188" spans="1:9" ht="13.5" hidden="1" thickTop="1">
      <c r="A188" s="18"/>
      <c r="B188" s="12"/>
      <c r="C188" s="12" t="s">
        <v>2</v>
      </c>
      <c r="D188" s="18"/>
      <c r="E188" s="18"/>
      <c r="F188" s="18"/>
      <c r="G188" s="18"/>
      <c r="H188" s="18"/>
      <c r="I188" s="18"/>
    </row>
    <row r="189" spans="1:9" ht="13.5" hidden="1" thickTop="1">
      <c r="A189" s="18"/>
      <c r="B189" s="13"/>
      <c r="C189" s="13" t="s">
        <v>11</v>
      </c>
      <c r="D189" s="18"/>
      <c r="E189" s="18"/>
      <c r="F189" s="18"/>
      <c r="G189" s="18"/>
      <c r="H189" s="18"/>
      <c r="I189" s="18"/>
    </row>
    <row r="190" spans="1:9" ht="13.5" thickTop="1">
      <c r="A190" s="18"/>
      <c r="B190" s="12"/>
      <c r="C190" s="12" t="s">
        <v>2</v>
      </c>
      <c r="D190" s="18"/>
      <c r="E190" s="18"/>
      <c r="F190" s="18"/>
      <c r="G190" s="18"/>
      <c r="H190" s="18"/>
      <c r="I190" s="18"/>
    </row>
    <row r="191" ht="12.75">
      <c r="A191" s="22"/>
    </row>
    <row r="192" spans="1:9" ht="30.75" customHeight="1">
      <c r="A192" s="444" t="s">
        <v>34</v>
      </c>
      <c r="B192" s="444"/>
      <c r="C192" s="444"/>
      <c r="D192" s="444"/>
      <c r="E192" s="444"/>
      <c r="F192" s="444"/>
      <c r="G192" s="444"/>
      <c r="H192" s="444"/>
      <c r="I192" s="444"/>
    </row>
    <row r="193" spans="1:9" ht="15">
      <c r="A193" s="446"/>
      <c r="B193" s="446"/>
      <c r="C193" s="446"/>
      <c r="D193" s="446"/>
      <c r="E193" s="446"/>
      <c r="F193" s="446"/>
      <c r="G193" s="446"/>
      <c r="H193" s="446"/>
      <c r="I193" s="446"/>
    </row>
    <row r="194" spans="1:9" ht="15">
      <c r="A194" s="442" t="s">
        <v>213</v>
      </c>
      <c r="B194" s="442"/>
      <c r="C194" s="442"/>
      <c r="D194" s="442"/>
      <c r="E194" s="442"/>
      <c r="F194" s="442"/>
      <c r="G194" s="442"/>
      <c r="H194" s="442"/>
      <c r="I194" s="442"/>
    </row>
    <row r="195" spans="1:9" ht="12.75">
      <c r="A195" s="2" t="s">
        <v>35</v>
      </c>
      <c r="I195" s="2" t="s">
        <v>4</v>
      </c>
    </row>
    <row r="196" spans="1:9" s="19" customFormat="1" ht="12.75">
      <c r="A196" s="443" t="s">
        <v>3</v>
      </c>
      <c r="B196" s="443"/>
      <c r="C196" s="23"/>
      <c r="D196" s="18"/>
      <c r="E196" s="18"/>
      <c r="F196" s="18"/>
      <c r="G196" s="18"/>
      <c r="H196" s="443"/>
      <c r="I196" s="443"/>
    </row>
    <row r="197" ht="12.75">
      <c r="A197" s="4"/>
    </row>
    <row r="198" ht="12.75">
      <c r="A198" s="4"/>
    </row>
    <row r="199" spans="1:9" ht="18.75" customHeight="1">
      <c r="A199" s="393" t="s">
        <v>159</v>
      </c>
      <c r="B199" s="393"/>
      <c r="C199" s="393"/>
      <c r="E199" s="392" t="s">
        <v>8</v>
      </c>
      <c r="F199" s="392"/>
      <c r="H199" s="392" t="s">
        <v>108</v>
      </c>
      <c r="I199" s="392"/>
    </row>
    <row r="200" spans="1:9" ht="15">
      <c r="A200" s="5"/>
      <c r="B200" s="5"/>
      <c r="E200" s="431" t="s">
        <v>5</v>
      </c>
      <c r="F200" s="431"/>
      <c r="H200" s="431" t="s">
        <v>6</v>
      </c>
      <c r="I200" s="431"/>
    </row>
    <row r="201" spans="1:8" ht="12.75" customHeight="1">
      <c r="A201" s="10"/>
      <c r="B201" s="10"/>
      <c r="E201" s="9"/>
      <c r="H201" s="9"/>
    </row>
    <row r="202" spans="1:9" ht="18.75" customHeight="1">
      <c r="A202" s="393" t="s">
        <v>107</v>
      </c>
      <c r="B202" s="393"/>
      <c r="C202" s="393"/>
      <c r="E202" s="392" t="s">
        <v>8</v>
      </c>
      <c r="F202" s="392"/>
      <c r="H202" s="392" t="s">
        <v>109</v>
      </c>
      <c r="I202" s="392"/>
    </row>
    <row r="203" spans="1:9" ht="15">
      <c r="A203" s="5"/>
      <c r="E203" s="431" t="s">
        <v>5</v>
      </c>
      <c r="F203" s="431"/>
      <c r="H203" s="431" t="s">
        <v>6</v>
      </c>
      <c r="I203" s="431"/>
    </row>
    <row r="204" ht="12.75">
      <c r="A204" s="4"/>
    </row>
    <row r="205" ht="12.75">
      <c r="A205" s="4"/>
    </row>
  </sheetData>
  <sheetProtection/>
  <mergeCells count="161">
    <mergeCell ref="H131:I131"/>
    <mergeCell ref="H123:I123"/>
    <mergeCell ref="H124:I124"/>
    <mergeCell ref="H125:I125"/>
    <mergeCell ref="H126:I126"/>
    <mergeCell ref="H110:I110"/>
    <mergeCell ref="H111:I122"/>
    <mergeCell ref="H127:I127"/>
    <mergeCell ref="H128:I128"/>
    <mergeCell ref="H129:I129"/>
    <mergeCell ref="H130:I130"/>
    <mergeCell ref="H104:I104"/>
    <mergeCell ref="H105:I105"/>
    <mergeCell ref="H106:I106"/>
    <mergeCell ref="H107:I107"/>
    <mergeCell ref="H108:I108"/>
    <mergeCell ref="H109:I109"/>
    <mergeCell ref="H98:I98"/>
    <mergeCell ref="H99:I99"/>
    <mergeCell ref="H100:I100"/>
    <mergeCell ref="H101:I101"/>
    <mergeCell ref="H102:I102"/>
    <mergeCell ref="H103:I103"/>
    <mergeCell ref="H92:I92"/>
    <mergeCell ref="H93:I93"/>
    <mergeCell ref="H94:I94"/>
    <mergeCell ref="H95:I95"/>
    <mergeCell ref="H96:I96"/>
    <mergeCell ref="H97:I97"/>
    <mergeCell ref="H86:I86"/>
    <mergeCell ref="H87:I87"/>
    <mergeCell ref="H88:I88"/>
    <mergeCell ref="H89:I89"/>
    <mergeCell ref="H90:I90"/>
    <mergeCell ref="H91:I91"/>
    <mergeCell ref="H80:I80"/>
    <mergeCell ref="H81:I81"/>
    <mergeCell ref="H82:I82"/>
    <mergeCell ref="H83:I83"/>
    <mergeCell ref="H84:I84"/>
    <mergeCell ref="H85:I85"/>
    <mergeCell ref="H54:I74"/>
    <mergeCell ref="H75:I75"/>
    <mergeCell ref="H76:I76"/>
    <mergeCell ref="H77:I77"/>
    <mergeCell ref="H78:I78"/>
    <mergeCell ref="H79:I79"/>
    <mergeCell ref="H48:I48"/>
    <mergeCell ref="H49:I49"/>
    <mergeCell ref="H50:I50"/>
    <mergeCell ref="H51:I51"/>
    <mergeCell ref="H52:I52"/>
    <mergeCell ref="H53:I53"/>
    <mergeCell ref="H42:I42"/>
    <mergeCell ref="H43:I43"/>
    <mergeCell ref="H44:I44"/>
    <mergeCell ref="H45:I45"/>
    <mergeCell ref="H46:I46"/>
    <mergeCell ref="H47:I47"/>
    <mergeCell ref="H36:I36"/>
    <mergeCell ref="H37:I37"/>
    <mergeCell ref="H38:I38"/>
    <mergeCell ref="H39:I39"/>
    <mergeCell ref="H40:I40"/>
    <mergeCell ref="H41:I41"/>
    <mergeCell ref="H30:I30"/>
    <mergeCell ref="H31:I31"/>
    <mergeCell ref="H32:I32"/>
    <mergeCell ref="H33:I33"/>
    <mergeCell ref="H34:I34"/>
    <mergeCell ref="H35:I35"/>
    <mergeCell ref="H24:I24"/>
    <mergeCell ref="H25:I25"/>
    <mergeCell ref="H26:I26"/>
    <mergeCell ref="H27:I27"/>
    <mergeCell ref="H28:I28"/>
    <mergeCell ref="H29:I29"/>
    <mergeCell ref="A1:I1"/>
    <mergeCell ref="A3:I3"/>
    <mergeCell ref="A4:I4"/>
    <mergeCell ref="B5:J5"/>
    <mergeCell ref="B6:J6"/>
    <mergeCell ref="B12:I12"/>
    <mergeCell ref="A14:B15"/>
    <mergeCell ref="C14:C15"/>
    <mergeCell ref="D14:D15"/>
    <mergeCell ref="E14:E15"/>
    <mergeCell ref="F14:G14"/>
    <mergeCell ref="H14:I15"/>
    <mergeCell ref="E140:G140"/>
    <mergeCell ref="A16:B16"/>
    <mergeCell ref="H16:I16"/>
    <mergeCell ref="H17:I17"/>
    <mergeCell ref="H18:I18"/>
    <mergeCell ref="H19:I19"/>
    <mergeCell ref="H20:I20"/>
    <mergeCell ref="H21:I21"/>
    <mergeCell ref="H22:I22"/>
    <mergeCell ref="H23:I23"/>
    <mergeCell ref="A158:I158"/>
    <mergeCell ref="A159:I159"/>
    <mergeCell ref="A160:I160"/>
    <mergeCell ref="A161:I161"/>
    <mergeCell ref="A133:I133"/>
    <mergeCell ref="E134:G134"/>
    <mergeCell ref="E135:G135"/>
    <mergeCell ref="E136:G136"/>
    <mergeCell ref="C138:I138"/>
    <mergeCell ref="E139:G139"/>
    <mergeCell ref="A163:B163"/>
    <mergeCell ref="H163:I163"/>
    <mergeCell ref="A165:I165"/>
    <mergeCell ref="A167:B168"/>
    <mergeCell ref="C167:C168"/>
    <mergeCell ref="D167:E167"/>
    <mergeCell ref="F167:G167"/>
    <mergeCell ref="H167:I168"/>
    <mergeCell ref="A169:B169"/>
    <mergeCell ref="H169:I169"/>
    <mergeCell ref="A170:B170"/>
    <mergeCell ref="H170:I170"/>
    <mergeCell ref="A171:B171"/>
    <mergeCell ref="H171:I171"/>
    <mergeCell ref="A172:B172"/>
    <mergeCell ref="H172:I172"/>
    <mergeCell ref="A173:B173"/>
    <mergeCell ref="H173:I173"/>
    <mergeCell ref="A174:B174"/>
    <mergeCell ref="H174:I174"/>
    <mergeCell ref="A176:I176"/>
    <mergeCell ref="A192:I192"/>
    <mergeCell ref="A193:I193"/>
    <mergeCell ref="A194:I194"/>
    <mergeCell ref="A196:B196"/>
    <mergeCell ref="H196:I196"/>
    <mergeCell ref="E203:F203"/>
    <mergeCell ref="H203:I203"/>
    <mergeCell ref="A199:C199"/>
    <mergeCell ref="E199:F199"/>
    <mergeCell ref="H199:I199"/>
    <mergeCell ref="E200:F200"/>
    <mergeCell ref="H200:I200"/>
    <mergeCell ref="A202:C202"/>
    <mergeCell ref="E202:F202"/>
    <mergeCell ref="H202:I202"/>
    <mergeCell ref="C147:I147"/>
    <mergeCell ref="C148:I148"/>
    <mergeCell ref="E149:G149"/>
    <mergeCell ref="E141:G141"/>
    <mergeCell ref="E142:G142"/>
    <mergeCell ref="E143:G143"/>
    <mergeCell ref="E144:G144"/>
    <mergeCell ref="E145:G145"/>
    <mergeCell ref="E146:G146"/>
    <mergeCell ref="E156:G156"/>
    <mergeCell ref="E150:G150"/>
    <mergeCell ref="E151:G151"/>
    <mergeCell ref="E152:G152"/>
    <mergeCell ref="E153:G153"/>
    <mergeCell ref="E154:G154"/>
    <mergeCell ref="E155:G155"/>
  </mergeCells>
  <printOptions horizontalCentered="1"/>
  <pageMargins left="0.2362204724409449" right="0.15748031496062992" top="0.1968503937007874" bottom="0.15748031496062992" header="0.1968503937007874" footer="0.11811023622047245"/>
  <pageSetup fitToHeight="0" fitToWidth="1"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sheetPr>
    <tabColor rgb="FFFFC000"/>
    <pageSetUpPr fitToPage="1"/>
  </sheetPr>
  <dimension ref="A1:J214"/>
  <sheetViews>
    <sheetView view="pageBreakPreview" zoomScale="90" zoomScaleSheetLayoutView="90" zoomScalePageLayoutView="0" workbookViewId="0" topLeftCell="B1">
      <selection activeCell="H111" sqref="H111:I122"/>
    </sheetView>
  </sheetViews>
  <sheetFormatPr defaultColWidth="9.00390625" defaultRowHeight="12.75"/>
  <cols>
    <col min="1" max="1" width="6.375" style="0" hidden="1" customWidth="1"/>
    <col min="2" max="2" width="7.625" style="0" customWidth="1"/>
    <col min="3" max="3" width="84.50390625" style="0" customWidth="1"/>
    <col min="4" max="4" width="8.375" style="0" customWidth="1"/>
    <col min="5" max="6" width="8.50390625" style="0" customWidth="1"/>
    <col min="7" max="7" width="11.375" style="0" customWidth="1"/>
    <col min="8" max="8" width="32.50390625" style="0" customWidth="1"/>
    <col min="9" max="9" width="32.375" style="0" customWidth="1"/>
    <col min="10" max="10" width="10.50390625" style="0" customWidth="1"/>
  </cols>
  <sheetData>
    <row r="1" spans="1:9" s="60" customFormat="1" ht="21" thickBot="1">
      <c r="A1" s="432" t="s">
        <v>217</v>
      </c>
      <c r="B1" s="432"/>
      <c r="C1" s="432"/>
      <c r="D1" s="432"/>
      <c r="E1" s="432"/>
      <c r="F1" s="432"/>
      <c r="G1" s="432"/>
      <c r="H1" s="432"/>
      <c r="I1" s="432"/>
    </row>
    <row r="2" s="60" customFormat="1" ht="9.75" customHeight="1" thickTop="1">
      <c r="A2" s="70"/>
    </row>
    <row r="3" spans="1:9" s="60" customFormat="1" ht="15">
      <c r="A3" s="433" t="s">
        <v>160</v>
      </c>
      <c r="B3" s="433"/>
      <c r="C3" s="433"/>
      <c r="D3" s="433"/>
      <c r="E3" s="433"/>
      <c r="F3" s="433"/>
      <c r="G3" s="433"/>
      <c r="H3" s="433"/>
      <c r="I3" s="433"/>
    </row>
    <row r="4" spans="1:9" s="60" customFormat="1" ht="12" customHeight="1">
      <c r="A4" s="434" t="s">
        <v>206</v>
      </c>
      <c r="B4" s="434"/>
      <c r="C4" s="434"/>
      <c r="D4" s="434"/>
      <c r="E4" s="434"/>
      <c r="F4" s="434"/>
      <c r="G4" s="434"/>
      <c r="H4" s="434"/>
      <c r="I4" s="434"/>
    </row>
    <row r="5" spans="1:10" s="60" customFormat="1" ht="12" customHeight="1">
      <c r="A5" s="112"/>
      <c r="B5" s="433" t="s">
        <v>205</v>
      </c>
      <c r="C5" s="433"/>
      <c r="D5" s="433"/>
      <c r="E5" s="433"/>
      <c r="F5" s="433"/>
      <c r="G5" s="433"/>
      <c r="H5" s="433"/>
      <c r="I5" s="433"/>
      <c r="J5" s="433"/>
    </row>
    <row r="6" spans="1:10" s="60" customFormat="1" ht="12" customHeight="1">
      <c r="A6" s="112"/>
      <c r="B6" s="434" t="s">
        <v>207</v>
      </c>
      <c r="C6" s="434"/>
      <c r="D6" s="434"/>
      <c r="E6" s="434"/>
      <c r="F6" s="434"/>
      <c r="G6" s="434"/>
      <c r="H6" s="434"/>
      <c r="I6" s="434"/>
      <c r="J6" s="434"/>
    </row>
    <row r="7" spans="1:9" s="60" customFormat="1" ht="12" customHeight="1">
      <c r="A7" s="112"/>
      <c r="B7" s="119"/>
      <c r="C7" s="116"/>
      <c r="D7" s="116"/>
      <c r="E7" s="116"/>
      <c r="F7" s="116"/>
      <c r="G7" s="116"/>
      <c r="H7" s="116"/>
      <c r="I7" s="116"/>
    </row>
    <row r="8" spans="1:9" s="60" customFormat="1" ht="12" customHeight="1">
      <c r="A8" s="112"/>
      <c r="B8" s="115" t="s">
        <v>252</v>
      </c>
      <c r="C8" s="116"/>
      <c r="D8" s="116"/>
      <c r="E8" s="116"/>
      <c r="F8" s="116"/>
      <c r="G8" s="116"/>
      <c r="H8" s="116"/>
      <c r="I8" s="116"/>
    </row>
    <row r="9" spans="1:9" s="60" customFormat="1" ht="12" customHeight="1">
      <c r="A9" s="112"/>
      <c r="B9" s="117"/>
      <c r="C9" s="118" t="s">
        <v>201</v>
      </c>
      <c r="D9" s="116"/>
      <c r="E9" s="120" t="s">
        <v>202</v>
      </c>
      <c r="F9" s="116"/>
      <c r="H9" s="116"/>
      <c r="I9" s="116"/>
    </row>
    <row r="10" spans="1:9" s="60" customFormat="1" ht="12" customHeight="1">
      <c r="A10" s="112"/>
      <c r="B10" s="121"/>
      <c r="C10" s="121"/>
      <c r="D10" s="121"/>
      <c r="E10" s="121"/>
      <c r="F10" s="121"/>
      <c r="G10" s="121"/>
      <c r="H10" s="121"/>
      <c r="I10" s="121"/>
    </row>
    <row r="11" spans="1:9" s="60" customFormat="1" ht="12" customHeight="1">
      <c r="A11" s="112"/>
      <c r="B11" s="115" t="s">
        <v>203</v>
      </c>
      <c r="C11" s="115"/>
      <c r="D11" s="115"/>
      <c r="E11" s="115"/>
      <c r="F11" s="115"/>
      <c r="G11" s="115"/>
      <c r="H11" s="115"/>
      <c r="I11" s="115"/>
    </row>
    <row r="12" spans="1:9" s="60" customFormat="1" ht="12" customHeight="1">
      <c r="A12" s="112"/>
      <c r="B12" s="400" t="s">
        <v>204</v>
      </c>
      <c r="C12" s="400"/>
      <c r="D12" s="400"/>
      <c r="E12" s="400"/>
      <c r="F12" s="400"/>
      <c r="G12" s="400"/>
      <c r="H12" s="400"/>
      <c r="I12" s="400"/>
    </row>
    <row r="13" s="60" customFormat="1" ht="12.75">
      <c r="I13" s="71" t="s">
        <v>4</v>
      </c>
    </row>
    <row r="14" spans="1:9" s="60" customFormat="1" ht="12.75">
      <c r="A14" s="417" t="s">
        <v>23</v>
      </c>
      <c r="B14" s="417"/>
      <c r="C14" s="417" t="s">
        <v>1</v>
      </c>
      <c r="D14" s="417" t="s">
        <v>175</v>
      </c>
      <c r="E14" s="417" t="s">
        <v>176</v>
      </c>
      <c r="F14" s="417" t="s">
        <v>177</v>
      </c>
      <c r="G14" s="417"/>
      <c r="H14" s="417" t="s">
        <v>208</v>
      </c>
      <c r="I14" s="417"/>
    </row>
    <row r="15" spans="1:9" s="60" customFormat="1" ht="27" customHeight="1">
      <c r="A15" s="417"/>
      <c r="B15" s="417"/>
      <c r="C15" s="417"/>
      <c r="D15" s="417"/>
      <c r="E15" s="417"/>
      <c r="F15" s="111" t="s">
        <v>24</v>
      </c>
      <c r="G15" s="111" t="s">
        <v>36</v>
      </c>
      <c r="H15" s="417"/>
      <c r="I15" s="417"/>
    </row>
    <row r="16" spans="1:9" s="60" customFormat="1" ht="13.5" thickBot="1">
      <c r="A16" s="415">
        <v>1</v>
      </c>
      <c r="B16" s="415"/>
      <c r="C16" s="113">
        <v>2</v>
      </c>
      <c r="D16" s="113">
        <v>3</v>
      </c>
      <c r="E16" s="113">
        <v>4</v>
      </c>
      <c r="F16" s="113">
        <v>5</v>
      </c>
      <c r="G16" s="113">
        <v>6</v>
      </c>
      <c r="H16" s="416">
        <v>7</v>
      </c>
      <c r="I16" s="416"/>
    </row>
    <row r="17" spans="2:9" s="55" customFormat="1" ht="13.5" thickTop="1">
      <c r="B17" s="169">
        <v>1117360</v>
      </c>
      <c r="C17" s="169" t="s">
        <v>231</v>
      </c>
      <c r="D17" s="45">
        <f>D18+D75</f>
        <v>221.34</v>
      </c>
      <c r="E17" s="45">
        <f>E18+E75</f>
        <v>14605.779999999999</v>
      </c>
      <c r="F17" s="45">
        <f>F18+F75</f>
        <v>0</v>
      </c>
      <c r="G17" s="45">
        <f>G18+G75</f>
        <v>41168.058000000005</v>
      </c>
      <c r="H17" s="428"/>
      <c r="I17" s="428"/>
    </row>
    <row r="18" spans="2:9" s="153" customFormat="1" ht="26.25">
      <c r="B18" s="151">
        <v>1117361</v>
      </c>
      <c r="C18" s="151" t="s">
        <v>232</v>
      </c>
      <c r="D18" s="152">
        <f>D19+D54</f>
        <v>221.34</v>
      </c>
      <c r="E18" s="152">
        <f>E19+E54</f>
        <v>5821.614</v>
      </c>
      <c r="F18" s="152">
        <f>F19+F54</f>
        <v>0</v>
      </c>
      <c r="G18" s="152">
        <f>G19+G54</f>
        <v>16767.598</v>
      </c>
      <c r="H18" s="429"/>
      <c r="I18" s="429"/>
    </row>
    <row r="19" spans="1:9" ht="12.75" hidden="1">
      <c r="A19" s="6"/>
      <c r="B19" s="27">
        <v>2000</v>
      </c>
      <c r="C19" s="28" t="s">
        <v>37</v>
      </c>
      <c r="D19" s="33">
        <f>D20+D25+D42+D45+D49+D53</f>
        <v>0</v>
      </c>
      <c r="E19" s="33">
        <f>E20+E25+E42+E45+E49+E53</f>
        <v>0</v>
      </c>
      <c r="F19" s="33">
        <f>F20+F25+F42+F45+F49+F53</f>
        <v>0</v>
      </c>
      <c r="G19" s="33">
        <f>G20+G25+G42+G45+G49+G53</f>
        <v>0</v>
      </c>
      <c r="H19" s="402"/>
      <c r="I19" s="402"/>
    </row>
    <row r="20" spans="1:9" ht="12.75" customHeight="1" hidden="1">
      <c r="A20" s="6"/>
      <c r="B20" s="29">
        <v>2100</v>
      </c>
      <c r="C20" s="30" t="s">
        <v>38</v>
      </c>
      <c r="D20" s="35">
        <f>D21+D24</f>
        <v>0</v>
      </c>
      <c r="E20" s="35">
        <f>E21+E24</f>
        <v>0</v>
      </c>
      <c r="F20" s="35">
        <f>F21+F24</f>
        <v>0</v>
      </c>
      <c r="G20" s="35">
        <f>G21+G24</f>
        <v>0</v>
      </c>
      <c r="H20" s="402"/>
      <c r="I20" s="402"/>
    </row>
    <row r="21" spans="1:9" ht="12.75" hidden="1">
      <c r="A21" s="6"/>
      <c r="B21" s="29">
        <v>2110</v>
      </c>
      <c r="C21" s="30" t="s">
        <v>39</v>
      </c>
      <c r="D21" s="35">
        <f>D22+D23</f>
        <v>0</v>
      </c>
      <c r="E21" s="35">
        <f>E22+E23</f>
        <v>0</v>
      </c>
      <c r="F21" s="35">
        <f>F22+F23</f>
        <v>0</v>
      </c>
      <c r="G21" s="35">
        <f>G22+G23</f>
        <v>0</v>
      </c>
      <c r="H21" s="402"/>
      <c r="I21" s="402"/>
    </row>
    <row r="22" spans="1:9" ht="12.75" hidden="1">
      <c r="A22" s="6"/>
      <c r="B22" s="29">
        <v>2111</v>
      </c>
      <c r="C22" s="30" t="s">
        <v>42</v>
      </c>
      <c r="D22" s="34"/>
      <c r="E22" s="34"/>
      <c r="F22" s="34"/>
      <c r="G22" s="34"/>
      <c r="H22" s="402"/>
      <c r="I22" s="402"/>
    </row>
    <row r="23" spans="1:9" ht="12.75" customHeight="1" hidden="1">
      <c r="A23" s="6"/>
      <c r="B23" s="29">
        <v>2112</v>
      </c>
      <c r="C23" s="30" t="s">
        <v>43</v>
      </c>
      <c r="D23" s="34"/>
      <c r="E23" s="34"/>
      <c r="F23" s="34"/>
      <c r="G23" s="34"/>
      <c r="H23" s="402"/>
      <c r="I23" s="402"/>
    </row>
    <row r="24" spans="1:9" ht="12.75" hidden="1">
      <c r="A24" s="6"/>
      <c r="B24" s="29">
        <v>2120</v>
      </c>
      <c r="C24" s="30" t="s">
        <v>44</v>
      </c>
      <c r="D24" s="34"/>
      <c r="E24" s="34"/>
      <c r="F24" s="34"/>
      <c r="G24" s="34"/>
      <c r="H24" s="402"/>
      <c r="I24" s="402"/>
    </row>
    <row r="25" spans="1:9" ht="12.75" hidden="1">
      <c r="A25" s="6"/>
      <c r="B25" s="27">
        <v>2200</v>
      </c>
      <c r="C25" s="28" t="s">
        <v>45</v>
      </c>
      <c r="D25" s="33">
        <f>SUM(D26:D32)+D39</f>
        <v>0</v>
      </c>
      <c r="E25" s="33">
        <f>SUM(E26:E32)+E39</f>
        <v>0</v>
      </c>
      <c r="F25" s="33">
        <f>SUM(F26:F32)+F39</f>
        <v>0</v>
      </c>
      <c r="G25" s="33">
        <f>SUM(G26:G32)+G39</f>
        <v>0</v>
      </c>
      <c r="H25" s="402"/>
      <c r="I25" s="402"/>
    </row>
    <row r="26" spans="1:9" ht="12.75" customHeight="1" hidden="1">
      <c r="A26" s="6"/>
      <c r="B26" s="29">
        <v>2210</v>
      </c>
      <c r="C26" s="30" t="s">
        <v>46</v>
      </c>
      <c r="D26" s="34"/>
      <c r="E26" s="34"/>
      <c r="F26" s="34"/>
      <c r="G26" s="34"/>
      <c r="H26" s="402"/>
      <c r="I26" s="402"/>
    </row>
    <row r="27" spans="1:9" ht="12.75" customHeight="1" hidden="1">
      <c r="A27" s="6"/>
      <c r="B27" s="29">
        <v>2220</v>
      </c>
      <c r="C27" s="30" t="s">
        <v>47</v>
      </c>
      <c r="D27" s="34"/>
      <c r="E27" s="34"/>
      <c r="F27" s="34"/>
      <c r="G27" s="34"/>
      <c r="H27" s="402"/>
      <c r="I27" s="402"/>
    </row>
    <row r="28" spans="1:9" ht="12.75" customHeight="1" hidden="1">
      <c r="A28" s="6"/>
      <c r="B28" s="29">
        <v>2230</v>
      </c>
      <c r="C28" s="30" t="s">
        <v>48</v>
      </c>
      <c r="D28" s="34"/>
      <c r="E28" s="34"/>
      <c r="F28" s="34"/>
      <c r="G28" s="34"/>
      <c r="H28" s="402"/>
      <c r="I28" s="402"/>
    </row>
    <row r="29" spans="1:9" ht="12.75" hidden="1">
      <c r="A29" s="6"/>
      <c r="B29" s="29">
        <v>2240</v>
      </c>
      <c r="C29" s="30" t="s">
        <v>49</v>
      </c>
      <c r="D29" s="34"/>
      <c r="E29" s="34"/>
      <c r="F29" s="34"/>
      <c r="G29" s="34"/>
      <c r="H29" s="402"/>
      <c r="I29" s="402"/>
    </row>
    <row r="30" spans="1:9" ht="12.75" hidden="1">
      <c r="A30" s="6"/>
      <c r="B30" s="29">
        <v>2250</v>
      </c>
      <c r="C30" s="30" t="s">
        <v>50</v>
      </c>
      <c r="D30" s="34"/>
      <c r="E30" s="34"/>
      <c r="F30" s="34"/>
      <c r="G30" s="34"/>
      <c r="H30" s="402"/>
      <c r="I30" s="402"/>
    </row>
    <row r="31" spans="1:9" ht="12.75" customHeight="1" hidden="1">
      <c r="A31" s="6"/>
      <c r="B31" s="29">
        <v>2260</v>
      </c>
      <c r="C31" s="30" t="s">
        <v>51</v>
      </c>
      <c r="D31" s="34"/>
      <c r="E31" s="34"/>
      <c r="F31" s="34"/>
      <c r="G31" s="34"/>
      <c r="H31" s="402"/>
      <c r="I31" s="402"/>
    </row>
    <row r="32" spans="1:9" ht="12.75" hidden="1">
      <c r="A32" s="6"/>
      <c r="B32" s="27">
        <v>2270</v>
      </c>
      <c r="C32" s="28" t="s">
        <v>52</v>
      </c>
      <c r="D32" s="33">
        <f>D33+D34+D35+D36+D37+D38</f>
        <v>0</v>
      </c>
      <c r="E32" s="33">
        <f>E33+E34+E35+E36+E37+E38</f>
        <v>0</v>
      </c>
      <c r="F32" s="33">
        <f>F33+F34+F35+F36+F37+F38</f>
        <v>0</v>
      </c>
      <c r="G32" s="33">
        <f>G33+G34+G35+G36+G37+G38</f>
        <v>0</v>
      </c>
      <c r="H32" s="402"/>
      <c r="I32" s="402"/>
    </row>
    <row r="33" spans="1:9" ht="12.75" hidden="1">
      <c r="A33" s="6"/>
      <c r="B33" s="29">
        <v>2271</v>
      </c>
      <c r="C33" s="30" t="s">
        <v>53</v>
      </c>
      <c r="D33" s="34"/>
      <c r="E33" s="34"/>
      <c r="F33" s="34"/>
      <c r="G33" s="34"/>
      <c r="H33" s="402"/>
      <c r="I33" s="402"/>
    </row>
    <row r="34" spans="1:9" ht="12.75" hidden="1">
      <c r="A34" s="6"/>
      <c r="B34" s="29">
        <v>2272</v>
      </c>
      <c r="C34" s="30" t="s">
        <v>54</v>
      </c>
      <c r="D34" s="34"/>
      <c r="E34" s="34"/>
      <c r="F34" s="34"/>
      <c r="G34" s="34"/>
      <c r="H34" s="402"/>
      <c r="I34" s="402"/>
    </row>
    <row r="35" spans="1:9" ht="12.75" hidden="1">
      <c r="A35" s="6"/>
      <c r="B35" s="29">
        <v>2273</v>
      </c>
      <c r="C35" s="30" t="s">
        <v>55</v>
      </c>
      <c r="D35" s="34"/>
      <c r="E35" s="34"/>
      <c r="F35" s="34"/>
      <c r="G35" s="34"/>
      <c r="H35" s="402"/>
      <c r="I35" s="402"/>
    </row>
    <row r="36" spans="1:9" ht="12.75" customHeight="1" hidden="1">
      <c r="A36" s="6"/>
      <c r="B36" s="29">
        <v>2274</v>
      </c>
      <c r="C36" s="30" t="s">
        <v>56</v>
      </c>
      <c r="D36" s="34"/>
      <c r="E36" s="34"/>
      <c r="F36" s="34"/>
      <c r="G36" s="34"/>
      <c r="H36" s="402"/>
      <c r="I36" s="402"/>
    </row>
    <row r="37" spans="1:9" ht="12.75" customHeight="1" hidden="1">
      <c r="A37" s="6"/>
      <c r="B37" s="29">
        <v>2275</v>
      </c>
      <c r="C37" s="30" t="s">
        <v>57</v>
      </c>
      <c r="D37" s="34"/>
      <c r="E37" s="34"/>
      <c r="F37" s="34"/>
      <c r="G37" s="34"/>
      <c r="H37" s="402"/>
      <c r="I37" s="402"/>
    </row>
    <row r="38" spans="1:9" ht="12.75" customHeight="1" hidden="1">
      <c r="A38" s="6"/>
      <c r="B38" s="31">
        <v>2276</v>
      </c>
      <c r="C38" s="32" t="s">
        <v>58</v>
      </c>
      <c r="D38" s="34"/>
      <c r="E38" s="34"/>
      <c r="F38" s="34"/>
      <c r="G38" s="34"/>
      <c r="H38" s="402"/>
      <c r="I38" s="402"/>
    </row>
    <row r="39" spans="1:9" ht="12.75" customHeight="1" hidden="1">
      <c r="A39" s="6"/>
      <c r="B39" s="27">
        <v>2280</v>
      </c>
      <c r="C39" s="28" t="s">
        <v>59</v>
      </c>
      <c r="D39" s="33">
        <f>D40+D41</f>
        <v>0</v>
      </c>
      <c r="E39" s="33">
        <f>E40+E41</f>
        <v>0</v>
      </c>
      <c r="F39" s="33">
        <f>F40+F41</f>
        <v>0</v>
      </c>
      <c r="G39" s="33">
        <f>G40+G41</f>
        <v>0</v>
      </c>
      <c r="H39" s="402"/>
      <c r="I39" s="402"/>
    </row>
    <row r="40" spans="1:9" ht="12.75" customHeight="1" hidden="1">
      <c r="A40" s="6"/>
      <c r="B40" s="29">
        <v>2281</v>
      </c>
      <c r="C40" s="30" t="s">
        <v>60</v>
      </c>
      <c r="D40" s="34"/>
      <c r="E40" s="34"/>
      <c r="F40" s="34"/>
      <c r="G40" s="34"/>
      <c r="H40" s="402"/>
      <c r="I40" s="402"/>
    </row>
    <row r="41" spans="1:9" ht="12.75" customHeight="1" hidden="1">
      <c r="A41" s="6"/>
      <c r="B41" s="29">
        <v>2282</v>
      </c>
      <c r="C41" s="30" t="s">
        <v>61</v>
      </c>
      <c r="D41" s="34"/>
      <c r="E41" s="34"/>
      <c r="F41" s="34"/>
      <c r="G41" s="34"/>
      <c r="H41" s="402"/>
      <c r="I41" s="402"/>
    </row>
    <row r="42" spans="1:9" ht="12.75" customHeight="1" hidden="1">
      <c r="A42" s="6"/>
      <c r="B42" s="27">
        <v>2400</v>
      </c>
      <c r="C42" s="28" t="s">
        <v>62</v>
      </c>
      <c r="D42" s="34">
        <f>D43+D44</f>
        <v>0</v>
      </c>
      <c r="E42" s="34">
        <f>E43+E44</f>
        <v>0</v>
      </c>
      <c r="F42" s="34">
        <f>F43+F44</f>
        <v>0</v>
      </c>
      <c r="G42" s="34">
        <f>G43+G44</f>
        <v>0</v>
      </c>
      <c r="H42" s="402"/>
      <c r="I42" s="402"/>
    </row>
    <row r="43" spans="1:9" ht="12.75" customHeight="1" hidden="1">
      <c r="A43" s="6"/>
      <c r="B43" s="29">
        <v>2410</v>
      </c>
      <c r="C43" s="30" t="s">
        <v>63</v>
      </c>
      <c r="D43" s="34"/>
      <c r="E43" s="34"/>
      <c r="F43" s="34"/>
      <c r="G43" s="34"/>
      <c r="H43" s="402"/>
      <c r="I43" s="402"/>
    </row>
    <row r="44" spans="1:9" ht="12.75" customHeight="1" hidden="1">
      <c r="A44" s="6"/>
      <c r="B44" s="29">
        <v>2420</v>
      </c>
      <c r="C44" s="30" t="s">
        <v>64</v>
      </c>
      <c r="D44" s="34"/>
      <c r="E44" s="34"/>
      <c r="F44" s="34"/>
      <c r="G44" s="34"/>
      <c r="H44" s="402"/>
      <c r="I44" s="402"/>
    </row>
    <row r="45" spans="1:9" ht="12.75" customHeight="1" hidden="1">
      <c r="A45" s="6"/>
      <c r="B45" s="27">
        <v>2600</v>
      </c>
      <c r="C45" s="28" t="s">
        <v>65</v>
      </c>
      <c r="D45" s="33">
        <f>D46+D47+D48</f>
        <v>0</v>
      </c>
      <c r="E45" s="33">
        <f>E46+E47+E48</f>
        <v>0</v>
      </c>
      <c r="F45" s="33">
        <f>F46+F47+F48</f>
        <v>0</v>
      </c>
      <c r="G45" s="33">
        <f>G46+G47+G48</f>
        <v>0</v>
      </c>
      <c r="H45" s="402"/>
      <c r="I45" s="402"/>
    </row>
    <row r="46" spans="1:9" ht="12.75" customHeight="1" hidden="1">
      <c r="A46" s="6"/>
      <c r="B46" s="29">
        <v>2610</v>
      </c>
      <c r="C46" s="30" t="s">
        <v>66</v>
      </c>
      <c r="D46" s="34"/>
      <c r="E46" s="34"/>
      <c r="F46" s="34"/>
      <c r="G46" s="34"/>
      <c r="H46" s="402"/>
      <c r="I46" s="402"/>
    </row>
    <row r="47" spans="1:9" ht="12.75" customHeight="1" hidden="1">
      <c r="A47" s="6"/>
      <c r="B47" s="29">
        <v>2620</v>
      </c>
      <c r="C47" s="30" t="s">
        <v>67</v>
      </c>
      <c r="D47" s="34"/>
      <c r="E47" s="34"/>
      <c r="F47" s="34"/>
      <c r="G47" s="34"/>
      <c r="H47" s="402"/>
      <c r="I47" s="402"/>
    </row>
    <row r="48" spans="1:9" ht="12.75" customHeight="1" hidden="1">
      <c r="A48" s="6"/>
      <c r="B48" s="29">
        <v>2630</v>
      </c>
      <c r="C48" s="30" t="s">
        <v>68</v>
      </c>
      <c r="D48" s="34"/>
      <c r="E48" s="34"/>
      <c r="F48" s="34"/>
      <c r="G48" s="34"/>
      <c r="H48" s="402"/>
      <c r="I48" s="402"/>
    </row>
    <row r="49" spans="1:9" ht="12.75" hidden="1">
      <c r="A49" s="6"/>
      <c r="B49" s="27">
        <v>2700</v>
      </c>
      <c r="C49" s="28" t="s">
        <v>69</v>
      </c>
      <c r="D49" s="33">
        <f>D50+D51+D52</f>
        <v>0</v>
      </c>
      <c r="E49" s="33">
        <f>E50+E51+E52</f>
        <v>0</v>
      </c>
      <c r="F49" s="33">
        <f>F50+F51+F52</f>
        <v>0</v>
      </c>
      <c r="G49" s="33">
        <f>G50+G51+G52</f>
        <v>0</v>
      </c>
      <c r="H49" s="402"/>
      <c r="I49" s="402"/>
    </row>
    <row r="50" spans="1:9" ht="12.75" customHeight="1" hidden="1">
      <c r="A50" s="6"/>
      <c r="B50" s="29">
        <v>2710</v>
      </c>
      <c r="C50" s="30" t="s">
        <v>70</v>
      </c>
      <c r="D50" s="42"/>
      <c r="E50" s="42"/>
      <c r="F50" s="42"/>
      <c r="G50" s="42"/>
      <c r="H50" s="402"/>
      <c r="I50" s="402"/>
    </row>
    <row r="51" spans="1:9" ht="12.75" customHeight="1" hidden="1">
      <c r="A51" s="6"/>
      <c r="B51" s="29">
        <v>2720</v>
      </c>
      <c r="C51" s="30" t="s">
        <v>71</v>
      </c>
      <c r="D51" s="42"/>
      <c r="E51" s="42"/>
      <c r="F51" s="34"/>
      <c r="G51" s="42"/>
      <c r="H51" s="402"/>
      <c r="I51" s="402"/>
    </row>
    <row r="52" spans="1:9" ht="12.75" hidden="1">
      <c r="A52" s="6"/>
      <c r="B52" s="29">
        <v>2730</v>
      </c>
      <c r="C52" s="30" t="s">
        <v>72</v>
      </c>
      <c r="D52" s="34"/>
      <c r="E52" s="34"/>
      <c r="F52" s="34"/>
      <c r="G52" s="42"/>
      <c r="H52" s="402"/>
      <c r="I52" s="402"/>
    </row>
    <row r="53" spans="1:9" ht="12.75" customHeight="1" hidden="1">
      <c r="A53" s="6"/>
      <c r="B53" s="27">
        <v>2800</v>
      </c>
      <c r="C53" s="28" t="s">
        <v>73</v>
      </c>
      <c r="D53" s="42"/>
      <c r="E53" s="42"/>
      <c r="F53" s="34"/>
      <c r="G53" s="42"/>
      <c r="H53" s="402"/>
      <c r="I53" s="402"/>
    </row>
    <row r="54" spans="1:9" ht="13.5" customHeight="1">
      <c r="A54" s="21"/>
      <c r="B54" s="27">
        <v>3000</v>
      </c>
      <c r="C54" s="28" t="s">
        <v>40</v>
      </c>
      <c r="D54" s="40">
        <f>D55+D69</f>
        <v>221.34</v>
      </c>
      <c r="E54" s="40">
        <f>E55+E69</f>
        <v>5821.614</v>
      </c>
      <c r="F54" s="40">
        <f>F55+F69</f>
        <v>0</v>
      </c>
      <c r="G54" s="40">
        <f>G55+G69</f>
        <v>16767.598</v>
      </c>
      <c r="H54" s="402"/>
      <c r="I54" s="402"/>
    </row>
    <row r="55" spans="1:10" ht="13.5" customHeight="1">
      <c r="A55" s="21"/>
      <c r="B55" s="27">
        <v>3100</v>
      </c>
      <c r="C55" s="28" t="s">
        <v>41</v>
      </c>
      <c r="D55" s="40">
        <f>D56+D57+D60+D63+D67+D68+D69</f>
        <v>221.34</v>
      </c>
      <c r="E55" s="40">
        <f>E56+E57+E60+E63+E67+E68+E69</f>
        <v>5821.614</v>
      </c>
      <c r="F55" s="40">
        <f>F56+F57+F60+F63+F67+F68+F69</f>
        <v>0</v>
      </c>
      <c r="G55" s="40">
        <f>G56+G57+G60+G63+G67+G68+G69</f>
        <v>16767.598</v>
      </c>
      <c r="H55" s="403" t="s">
        <v>119</v>
      </c>
      <c r="I55" s="404"/>
      <c r="J55" s="51"/>
    </row>
    <row r="56" spans="1:9" ht="13.5" customHeight="1" hidden="1">
      <c r="A56" s="21"/>
      <c r="B56" s="29">
        <v>3110</v>
      </c>
      <c r="C56" s="30" t="s">
        <v>74</v>
      </c>
      <c r="D56" s="42"/>
      <c r="E56" s="42"/>
      <c r="F56" s="41"/>
      <c r="G56" s="41"/>
      <c r="H56" s="405"/>
      <c r="I56" s="406"/>
    </row>
    <row r="57" spans="1:9" ht="12.75" customHeight="1">
      <c r="A57" s="21"/>
      <c r="B57" s="29">
        <v>3120</v>
      </c>
      <c r="C57" s="30" t="s">
        <v>75</v>
      </c>
      <c r="D57" s="40">
        <f>D58+D59</f>
        <v>0</v>
      </c>
      <c r="E57" s="40">
        <f>E58+E59</f>
        <v>0</v>
      </c>
      <c r="F57" s="40">
        <f>F58+F59</f>
        <v>0</v>
      </c>
      <c r="G57" s="40">
        <f>G58+G59</f>
        <v>9220.386</v>
      </c>
      <c r="H57" s="405"/>
      <c r="I57" s="406"/>
    </row>
    <row r="58" spans="1:9" ht="12.75" customHeight="1" hidden="1">
      <c r="A58" s="21"/>
      <c r="B58" s="29">
        <v>3121</v>
      </c>
      <c r="C58" s="30" t="s">
        <v>76</v>
      </c>
      <c r="D58" s="41"/>
      <c r="E58" s="41"/>
      <c r="F58" s="41"/>
      <c r="G58" s="41"/>
      <c r="H58" s="405"/>
      <c r="I58" s="406"/>
    </row>
    <row r="59" spans="1:9" ht="12.75" customHeight="1">
      <c r="A59" s="21"/>
      <c r="B59" s="29">
        <v>3122</v>
      </c>
      <c r="C59" s="30" t="s">
        <v>77</v>
      </c>
      <c r="D59" s="41">
        <f>'2019-3 СВОД'!D1563</f>
        <v>0</v>
      </c>
      <c r="E59" s="41">
        <f>'2019-3 СВОД'!E1563</f>
        <v>0</v>
      </c>
      <c r="F59" s="41">
        <f>'2019-3 СВОД'!F1563</f>
        <v>0</v>
      </c>
      <c r="G59" s="41">
        <f>'2019-3 СВОД'!G1563</f>
        <v>9220.386</v>
      </c>
      <c r="H59" s="407"/>
      <c r="I59" s="408"/>
    </row>
    <row r="60" spans="1:9" ht="12.75" customHeight="1" hidden="1">
      <c r="A60" s="21"/>
      <c r="B60" s="29">
        <v>3130</v>
      </c>
      <c r="C60" s="30" t="s">
        <v>78</v>
      </c>
      <c r="D60" s="40">
        <f>D61+D62</f>
        <v>0</v>
      </c>
      <c r="E60" s="40">
        <f>E61+E62</f>
        <v>0</v>
      </c>
      <c r="F60" s="40">
        <f>F61+F62</f>
        <v>0</v>
      </c>
      <c r="G60" s="40">
        <f>G61+G62</f>
        <v>0</v>
      </c>
      <c r="H60" s="402"/>
      <c r="I60" s="402"/>
    </row>
    <row r="61" spans="1:9" ht="12.75" customHeight="1" hidden="1">
      <c r="A61" s="21"/>
      <c r="B61" s="29">
        <v>3131</v>
      </c>
      <c r="C61" s="30" t="s">
        <v>79</v>
      </c>
      <c r="D61" s="41"/>
      <c r="E61" s="41"/>
      <c r="F61" s="41"/>
      <c r="G61" s="41"/>
      <c r="H61" s="402"/>
      <c r="I61" s="402"/>
    </row>
    <row r="62" spans="1:9" ht="12.75" customHeight="1" hidden="1">
      <c r="A62" s="21"/>
      <c r="B62" s="29">
        <v>3132</v>
      </c>
      <c r="C62" s="30" t="s">
        <v>80</v>
      </c>
      <c r="D62" s="41"/>
      <c r="E62" s="41"/>
      <c r="F62" s="41"/>
      <c r="G62" s="41"/>
      <c r="H62" s="402"/>
      <c r="I62" s="402"/>
    </row>
    <row r="63" spans="1:9" ht="12.75" customHeight="1">
      <c r="A63" s="21"/>
      <c r="B63" s="29">
        <v>3140</v>
      </c>
      <c r="C63" s="30" t="s">
        <v>81</v>
      </c>
      <c r="D63" s="40">
        <f>D64+D65+D66</f>
        <v>221.34</v>
      </c>
      <c r="E63" s="40">
        <f>E64+E65+E66</f>
        <v>5821.614</v>
      </c>
      <c r="F63" s="40">
        <f>F64+F65+F66</f>
        <v>0</v>
      </c>
      <c r="G63" s="40">
        <f>G64+G65+G66</f>
        <v>7547.212</v>
      </c>
      <c r="H63" s="403" t="s">
        <v>158</v>
      </c>
      <c r="I63" s="404"/>
    </row>
    <row r="64" spans="1:9" ht="12.75" customHeight="1" hidden="1">
      <c r="A64" s="21"/>
      <c r="B64" s="29">
        <v>3141</v>
      </c>
      <c r="C64" s="30" t="s">
        <v>82</v>
      </c>
      <c r="D64" s="41"/>
      <c r="E64" s="41"/>
      <c r="F64" s="41"/>
      <c r="G64" s="41"/>
      <c r="H64" s="405"/>
      <c r="I64" s="406"/>
    </row>
    <row r="65" spans="1:9" ht="12.75" customHeight="1">
      <c r="A65" s="21"/>
      <c r="B65" s="29">
        <v>3142</v>
      </c>
      <c r="C65" s="30" t="s">
        <v>83</v>
      </c>
      <c r="D65" s="41">
        <f>'2019-3 СВОД'!D1569</f>
        <v>221.34</v>
      </c>
      <c r="E65" s="41">
        <f>'2019-3 СВОД'!E1569</f>
        <v>5821.614</v>
      </c>
      <c r="F65" s="41">
        <f>'2019-3 СВОД'!F1569</f>
        <v>0</v>
      </c>
      <c r="G65" s="41">
        <f>'2019-3 СВОД'!G1569</f>
        <v>7547.212</v>
      </c>
      <c r="H65" s="405"/>
      <c r="I65" s="406"/>
    </row>
    <row r="66" spans="1:9" ht="12.75" customHeight="1" hidden="1">
      <c r="A66" s="21"/>
      <c r="B66" s="29">
        <v>3143</v>
      </c>
      <c r="C66" s="30" t="s">
        <v>84</v>
      </c>
      <c r="D66" s="41"/>
      <c r="E66" s="41"/>
      <c r="F66" s="41"/>
      <c r="G66" s="41"/>
      <c r="H66" s="405"/>
      <c r="I66" s="406"/>
    </row>
    <row r="67" spans="1:9" ht="12.75" customHeight="1" hidden="1">
      <c r="A67" s="21"/>
      <c r="B67" s="29">
        <v>3150</v>
      </c>
      <c r="C67" s="30" t="s">
        <v>85</v>
      </c>
      <c r="D67" s="41"/>
      <c r="E67" s="41"/>
      <c r="F67" s="41"/>
      <c r="G67" s="41"/>
      <c r="H67" s="405"/>
      <c r="I67" s="406"/>
    </row>
    <row r="68" spans="1:9" ht="12.75" customHeight="1" hidden="1">
      <c r="A68" s="21"/>
      <c r="B68" s="29">
        <v>3160</v>
      </c>
      <c r="C68" s="30" t="s">
        <v>86</v>
      </c>
      <c r="D68" s="41"/>
      <c r="E68" s="41"/>
      <c r="F68" s="41"/>
      <c r="G68" s="41"/>
      <c r="H68" s="405"/>
      <c r="I68" s="406"/>
    </row>
    <row r="69" spans="1:9" ht="12.75" customHeight="1" hidden="1">
      <c r="A69" s="21"/>
      <c r="B69" s="27">
        <v>3200</v>
      </c>
      <c r="C69" s="28" t="s">
        <v>87</v>
      </c>
      <c r="D69" s="40">
        <f>D70+D71+D72+D73</f>
        <v>0</v>
      </c>
      <c r="E69" s="40">
        <f>E70+E71+E72+E73</f>
        <v>0</v>
      </c>
      <c r="F69" s="40">
        <f>F70+F71+F72+F73</f>
        <v>0</v>
      </c>
      <c r="G69" s="40">
        <f>G70+G71+G72+G73</f>
        <v>0</v>
      </c>
      <c r="H69" s="405"/>
      <c r="I69" s="406"/>
    </row>
    <row r="70" spans="1:9" ht="12.75" customHeight="1" hidden="1">
      <c r="A70" s="21"/>
      <c r="B70" s="29">
        <v>3210</v>
      </c>
      <c r="C70" s="30" t="s">
        <v>88</v>
      </c>
      <c r="D70" s="41"/>
      <c r="E70" s="41"/>
      <c r="F70" s="41"/>
      <c r="G70" s="41"/>
      <c r="H70" s="405"/>
      <c r="I70" s="406"/>
    </row>
    <row r="71" spans="1:9" ht="12.75" customHeight="1" hidden="1">
      <c r="A71" s="21"/>
      <c r="B71" s="29">
        <v>3220</v>
      </c>
      <c r="C71" s="30" t="s">
        <v>89</v>
      </c>
      <c r="D71" s="41"/>
      <c r="E71" s="41"/>
      <c r="F71" s="41"/>
      <c r="G71" s="41"/>
      <c r="H71" s="405"/>
      <c r="I71" s="406"/>
    </row>
    <row r="72" spans="1:9" ht="12.75" customHeight="1" hidden="1">
      <c r="A72" s="21"/>
      <c r="B72" s="29">
        <v>3230</v>
      </c>
      <c r="C72" s="30" t="s">
        <v>90</v>
      </c>
      <c r="D72" s="41"/>
      <c r="E72" s="41"/>
      <c r="F72" s="41"/>
      <c r="G72" s="41"/>
      <c r="H72" s="405"/>
      <c r="I72" s="406"/>
    </row>
    <row r="73" spans="1:9" ht="12.75" customHeight="1" hidden="1">
      <c r="A73" s="21"/>
      <c r="B73" s="29">
        <v>3240</v>
      </c>
      <c r="C73" s="30" t="s">
        <v>91</v>
      </c>
      <c r="D73" s="41"/>
      <c r="E73" s="41"/>
      <c r="F73" s="41"/>
      <c r="G73" s="41"/>
      <c r="H73" s="405"/>
      <c r="I73" s="406"/>
    </row>
    <row r="74" spans="1:9" s="19" customFormat="1" ht="12.75">
      <c r="A74" s="7"/>
      <c r="B74" s="7"/>
      <c r="C74" s="20" t="s">
        <v>3</v>
      </c>
      <c r="D74" s="34">
        <f>D19+D54</f>
        <v>221.34</v>
      </c>
      <c r="E74" s="34">
        <f>E19+E54</f>
        <v>5821.614</v>
      </c>
      <c r="F74" s="34">
        <f>F19+F54</f>
        <v>0</v>
      </c>
      <c r="G74" s="34">
        <f>G19+G54</f>
        <v>16767.598</v>
      </c>
      <c r="H74" s="407"/>
      <c r="I74" s="408"/>
    </row>
    <row r="75" spans="2:9" s="153" customFormat="1" ht="12.75">
      <c r="B75" s="151">
        <v>1117366</v>
      </c>
      <c r="C75" s="151" t="s">
        <v>233</v>
      </c>
      <c r="D75" s="152">
        <f>D76+D111</f>
        <v>0</v>
      </c>
      <c r="E75" s="152">
        <f>E76+E111</f>
        <v>8784.166</v>
      </c>
      <c r="F75" s="152">
        <f>F76+F111</f>
        <v>0</v>
      </c>
      <c r="G75" s="152">
        <f>G76+G111</f>
        <v>24400.46</v>
      </c>
      <c r="H75" s="429"/>
      <c r="I75" s="429"/>
    </row>
    <row r="76" spans="1:9" ht="12.75" hidden="1">
      <c r="A76" s="6"/>
      <c r="B76" s="27">
        <v>2000</v>
      </c>
      <c r="C76" s="28" t="s">
        <v>37</v>
      </c>
      <c r="D76" s="33">
        <f>D77+D82+D99+D102+D106+D110</f>
        <v>0</v>
      </c>
      <c r="E76" s="33">
        <f>E77+E82+E99+E102+E106+E110</f>
        <v>0</v>
      </c>
      <c r="F76" s="33">
        <f>F77+F82+F99+F102+F106+F110</f>
        <v>0</v>
      </c>
      <c r="G76" s="33">
        <f>G77+G82+G99+G102+G106+G110</f>
        <v>0</v>
      </c>
      <c r="H76" s="402"/>
      <c r="I76" s="402"/>
    </row>
    <row r="77" spans="1:9" ht="12.75" customHeight="1" hidden="1">
      <c r="A77" s="6"/>
      <c r="B77" s="29">
        <v>2100</v>
      </c>
      <c r="C77" s="30" t="s">
        <v>38</v>
      </c>
      <c r="D77" s="35">
        <f>D78+D81</f>
        <v>0</v>
      </c>
      <c r="E77" s="35">
        <f>E78+E81</f>
        <v>0</v>
      </c>
      <c r="F77" s="35">
        <f>F78+F81</f>
        <v>0</v>
      </c>
      <c r="G77" s="35">
        <f>G78+G81</f>
        <v>0</v>
      </c>
      <c r="H77" s="402"/>
      <c r="I77" s="402"/>
    </row>
    <row r="78" spans="1:9" ht="12.75" hidden="1">
      <c r="A78" s="6"/>
      <c r="B78" s="29">
        <v>2110</v>
      </c>
      <c r="C78" s="30" t="s">
        <v>39</v>
      </c>
      <c r="D78" s="35">
        <f>D79+D80</f>
        <v>0</v>
      </c>
      <c r="E78" s="35">
        <f>E79+E80</f>
        <v>0</v>
      </c>
      <c r="F78" s="35">
        <f>F79+F80</f>
        <v>0</v>
      </c>
      <c r="G78" s="35">
        <f>G79+G80</f>
        <v>0</v>
      </c>
      <c r="H78" s="402"/>
      <c r="I78" s="402"/>
    </row>
    <row r="79" spans="1:9" ht="12.75" hidden="1">
      <c r="A79" s="6"/>
      <c r="B79" s="29">
        <v>2111</v>
      </c>
      <c r="C79" s="30" t="s">
        <v>42</v>
      </c>
      <c r="D79" s="34"/>
      <c r="E79" s="34"/>
      <c r="F79" s="34"/>
      <c r="G79" s="34"/>
      <c r="H79" s="402"/>
      <c r="I79" s="402"/>
    </row>
    <row r="80" spans="1:9" ht="12.75" customHeight="1" hidden="1">
      <c r="A80" s="6"/>
      <c r="B80" s="29">
        <v>2112</v>
      </c>
      <c r="C80" s="30" t="s">
        <v>43</v>
      </c>
      <c r="D80" s="34"/>
      <c r="E80" s="34"/>
      <c r="F80" s="34"/>
      <c r="G80" s="34"/>
      <c r="H80" s="402"/>
      <c r="I80" s="402"/>
    </row>
    <row r="81" spans="1:9" ht="12.75" hidden="1">
      <c r="A81" s="6"/>
      <c r="B81" s="29">
        <v>2120</v>
      </c>
      <c r="C81" s="30" t="s">
        <v>44</v>
      </c>
      <c r="D81" s="34"/>
      <c r="E81" s="34"/>
      <c r="F81" s="34"/>
      <c r="G81" s="34"/>
      <c r="H81" s="402"/>
      <c r="I81" s="402"/>
    </row>
    <row r="82" spans="1:9" ht="12.75" hidden="1">
      <c r="A82" s="6"/>
      <c r="B82" s="27">
        <v>2200</v>
      </c>
      <c r="C82" s="28" t="s">
        <v>45</v>
      </c>
      <c r="D82" s="33">
        <f>SUM(D83:D89)+D96</f>
        <v>0</v>
      </c>
      <c r="E82" s="33">
        <f>SUM(E83:E89)+E96</f>
        <v>0</v>
      </c>
      <c r="F82" s="33">
        <f>SUM(F83:F89)+F96</f>
        <v>0</v>
      </c>
      <c r="G82" s="33">
        <f>SUM(G83:G89)+G96</f>
        <v>0</v>
      </c>
      <c r="H82" s="402"/>
      <c r="I82" s="402"/>
    </row>
    <row r="83" spans="1:9" ht="12.75" customHeight="1" hidden="1">
      <c r="A83" s="6"/>
      <c r="B83" s="29">
        <v>2210</v>
      </c>
      <c r="C83" s="30" t="s">
        <v>46</v>
      </c>
      <c r="D83" s="34"/>
      <c r="E83" s="34"/>
      <c r="F83" s="34"/>
      <c r="G83" s="34"/>
      <c r="H83" s="402"/>
      <c r="I83" s="402"/>
    </row>
    <row r="84" spans="1:9" ht="12.75" customHeight="1" hidden="1">
      <c r="A84" s="6"/>
      <c r="B84" s="29">
        <v>2220</v>
      </c>
      <c r="C84" s="30" t="s">
        <v>47</v>
      </c>
      <c r="D84" s="34"/>
      <c r="E84" s="34"/>
      <c r="F84" s="34"/>
      <c r="G84" s="34"/>
      <c r="H84" s="402"/>
      <c r="I84" s="402"/>
    </row>
    <row r="85" spans="1:9" ht="12.75" customHeight="1" hidden="1">
      <c r="A85" s="6"/>
      <c r="B85" s="29">
        <v>2230</v>
      </c>
      <c r="C85" s="30" t="s">
        <v>48</v>
      </c>
      <c r="D85" s="34"/>
      <c r="E85" s="34"/>
      <c r="F85" s="34"/>
      <c r="G85" s="34"/>
      <c r="H85" s="402"/>
      <c r="I85" s="402"/>
    </row>
    <row r="86" spans="1:9" ht="12.75" hidden="1">
      <c r="A86" s="6"/>
      <c r="B86" s="29">
        <v>2240</v>
      </c>
      <c r="C86" s="30" t="s">
        <v>49</v>
      </c>
      <c r="D86" s="34"/>
      <c r="E86" s="34"/>
      <c r="F86" s="34"/>
      <c r="G86" s="34"/>
      <c r="H86" s="402"/>
      <c r="I86" s="402"/>
    </row>
    <row r="87" spans="1:9" ht="12.75" hidden="1">
      <c r="A87" s="6"/>
      <c r="B87" s="29">
        <v>2250</v>
      </c>
      <c r="C87" s="30" t="s">
        <v>50</v>
      </c>
      <c r="D87" s="34"/>
      <c r="E87" s="34"/>
      <c r="F87" s="34"/>
      <c r="G87" s="34"/>
      <c r="H87" s="402"/>
      <c r="I87" s="402"/>
    </row>
    <row r="88" spans="1:9" ht="12.75" customHeight="1" hidden="1">
      <c r="A88" s="6"/>
      <c r="B88" s="29">
        <v>2260</v>
      </c>
      <c r="C88" s="30" t="s">
        <v>51</v>
      </c>
      <c r="D88" s="34"/>
      <c r="E88" s="34"/>
      <c r="F88" s="34"/>
      <c r="G88" s="34"/>
      <c r="H88" s="402"/>
      <c r="I88" s="402"/>
    </row>
    <row r="89" spans="1:9" ht="12.75" hidden="1">
      <c r="A89" s="6"/>
      <c r="B89" s="27">
        <v>2270</v>
      </c>
      <c r="C89" s="28" t="s">
        <v>52</v>
      </c>
      <c r="D89" s="33">
        <f>D90+D91+D92+D93+D94+D95</f>
        <v>0</v>
      </c>
      <c r="E89" s="33">
        <f>E90+E91+E92+E93+E94+E95</f>
        <v>0</v>
      </c>
      <c r="F89" s="33">
        <f>F90+F91+F92+F93+F94+F95</f>
        <v>0</v>
      </c>
      <c r="G89" s="33">
        <f>G90+G91+G92+G93+G94+G95</f>
        <v>0</v>
      </c>
      <c r="H89" s="402"/>
      <c r="I89" s="402"/>
    </row>
    <row r="90" spans="1:9" ht="12.75" hidden="1">
      <c r="A90" s="6"/>
      <c r="B90" s="29">
        <v>2271</v>
      </c>
      <c r="C90" s="30" t="s">
        <v>53</v>
      </c>
      <c r="D90" s="34"/>
      <c r="E90" s="34"/>
      <c r="F90" s="34"/>
      <c r="G90" s="34"/>
      <c r="H90" s="402"/>
      <c r="I90" s="402"/>
    </row>
    <row r="91" spans="1:9" ht="12.75" hidden="1">
      <c r="A91" s="6"/>
      <c r="B91" s="29">
        <v>2272</v>
      </c>
      <c r="C91" s="30" t="s">
        <v>54</v>
      </c>
      <c r="D91" s="34"/>
      <c r="E91" s="34"/>
      <c r="F91" s="34"/>
      <c r="G91" s="34"/>
      <c r="H91" s="402"/>
      <c r="I91" s="402"/>
    </row>
    <row r="92" spans="1:9" ht="12.75" hidden="1">
      <c r="A92" s="6"/>
      <c r="B92" s="29">
        <v>2273</v>
      </c>
      <c r="C92" s="30" t="s">
        <v>55</v>
      </c>
      <c r="D92" s="34"/>
      <c r="E92" s="34"/>
      <c r="F92" s="34"/>
      <c r="G92" s="34"/>
      <c r="H92" s="402"/>
      <c r="I92" s="402"/>
    </row>
    <row r="93" spans="1:9" ht="12.75" customHeight="1" hidden="1">
      <c r="A93" s="6"/>
      <c r="B93" s="29">
        <v>2274</v>
      </c>
      <c r="C93" s="30" t="s">
        <v>56</v>
      </c>
      <c r="D93" s="34"/>
      <c r="E93" s="34"/>
      <c r="F93" s="34"/>
      <c r="G93" s="34"/>
      <c r="H93" s="402"/>
      <c r="I93" s="402"/>
    </row>
    <row r="94" spans="1:9" ht="12.75" customHeight="1" hidden="1">
      <c r="A94" s="6"/>
      <c r="B94" s="29">
        <v>2275</v>
      </c>
      <c r="C94" s="30" t="s">
        <v>57</v>
      </c>
      <c r="D94" s="34"/>
      <c r="E94" s="34"/>
      <c r="F94" s="34"/>
      <c r="G94" s="34"/>
      <c r="H94" s="402"/>
      <c r="I94" s="402"/>
    </row>
    <row r="95" spans="1:9" ht="12.75" customHeight="1" hidden="1">
      <c r="A95" s="6"/>
      <c r="B95" s="31">
        <v>2276</v>
      </c>
      <c r="C95" s="32" t="s">
        <v>58</v>
      </c>
      <c r="D95" s="34"/>
      <c r="E95" s="34"/>
      <c r="F95" s="34"/>
      <c r="G95" s="34"/>
      <c r="H95" s="402"/>
      <c r="I95" s="402"/>
    </row>
    <row r="96" spans="1:9" ht="12.75" customHeight="1" hidden="1">
      <c r="A96" s="6"/>
      <c r="B96" s="27">
        <v>2280</v>
      </c>
      <c r="C96" s="28" t="s">
        <v>59</v>
      </c>
      <c r="D96" s="33">
        <f>D97+D98</f>
        <v>0</v>
      </c>
      <c r="E96" s="33">
        <f>E97+E98</f>
        <v>0</v>
      </c>
      <c r="F96" s="33">
        <f>F97+F98</f>
        <v>0</v>
      </c>
      <c r="G96" s="33">
        <f>G97+G98</f>
        <v>0</v>
      </c>
      <c r="H96" s="402"/>
      <c r="I96" s="402"/>
    </row>
    <row r="97" spans="1:9" ht="12.75" customHeight="1" hidden="1">
      <c r="A97" s="6"/>
      <c r="B97" s="29">
        <v>2281</v>
      </c>
      <c r="C97" s="30" t="s">
        <v>60</v>
      </c>
      <c r="D97" s="34"/>
      <c r="E97" s="34"/>
      <c r="F97" s="34"/>
      <c r="G97" s="34"/>
      <c r="H97" s="402"/>
      <c r="I97" s="402"/>
    </row>
    <row r="98" spans="1:9" ht="12.75" customHeight="1" hidden="1">
      <c r="A98" s="6"/>
      <c r="B98" s="29">
        <v>2282</v>
      </c>
      <c r="C98" s="30" t="s">
        <v>61</v>
      </c>
      <c r="D98" s="34"/>
      <c r="E98" s="34"/>
      <c r="F98" s="34"/>
      <c r="G98" s="34"/>
      <c r="H98" s="402"/>
      <c r="I98" s="402"/>
    </row>
    <row r="99" spans="1:9" ht="12.75" customHeight="1" hidden="1">
      <c r="A99" s="6"/>
      <c r="B99" s="27">
        <v>2400</v>
      </c>
      <c r="C99" s="28" t="s">
        <v>62</v>
      </c>
      <c r="D99" s="34">
        <f>D100+D101</f>
        <v>0</v>
      </c>
      <c r="E99" s="34">
        <f>E100+E101</f>
        <v>0</v>
      </c>
      <c r="F99" s="34">
        <f>F100+F101</f>
        <v>0</v>
      </c>
      <c r="G99" s="34">
        <f>G100+G101</f>
        <v>0</v>
      </c>
      <c r="H99" s="402"/>
      <c r="I99" s="402"/>
    </row>
    <row r="100" spans="1:9" ht="12.75" customHeight="1" hidden="1">
      <c r="A100" s="6"/>
      <c r="B100" s="29">
        <v>2410</v>
      </c>
      <c r="C100" s="30" t="s">
        <v>63</v>
      </c>
      <c r="D100" s="34"/>
      <c r="E100" s="34"/>
      <c r="F100" s="34"/>
      <c r="G100" s="34"/>
      <c r="H100" s="402"/>
      <c r="I100" s="402"/>
    </row>
    <row r="101" spans="1:9" ht="12.75" customHeight="1" hidden="1">
      <c r="A101" s="6"/>
      <c r="B101" s="29">
        <v>2420</v>
      </c>
      <c r="C101" s="30" t="s">
        <v>64</v>
      </c>
      <c r="D101" s="34"/>
      <c r="E101" s="34"/>
      <c r="F101" s="34"/>
      <c r="G101" s="34"/>
      <c r="H101" s="402"/>
      <c r="I101" s="402"/>
    </row>
    <row r="102" spans="1:9" ht="12.75" customHeight="1" hidden="1">
      <c r="A102" s="6"/>
      <c r="B102" s="27">
        <v>2600</v>
      </c>
      <c r="C102" s="28" t="s">
        <v>65</v>
      </c>
      <c r="D102" s="33">
        <f>D103+D104+D105</f>
        <v>0</v>
      </c>
      <c r="E102" s="33">
        <f>E103+E104+E105</f>
        <v>0</v>
      </c>
      <c r="F102" s="33">
        <f>F103+F104+F105</f>
        <v>0</v>
      </c>
      <c r="G102" s="33">
        <f>G103+G104+G105</f>
        <v>0</v>
      </c>
      <c r="H102" s="402"/>
      <c r="I102" s="402"/>
    </row>
    <row r="103" spans="1:9" ht="12.75" customHeight="1" hidden="1">
      <c r="A103" s="6"/>
      <c r="B103" s="29">
        <v>2610</v>
      </c>
      <c r="C103" s="30" t="s">
        <v>66</v>
      </c>
      <c r="D103" s="34"/>
      <c r="E103" s="34"/>
      <c r="F103" s="34"/>
      <c r="G103" s="34"/>
      <c r="H103" s="402"/>
      <c r="I103" s="402"/>
    </row>
    <row r="104" spans="1:9" ht="12.75" customHeight="1" hidden="1">
      <c r="A104" s="6"/>
      <c r="B104" s="29">
        <v>2620</v>
      </c>
      <c r="C104" s="30" t="s">
        <v>67</v>
      </c>
      <c r="D104" s="34"/>
      <c r="E104" s="34"/>
      <c r="F104" s="34"/>
      <c r="G104" s="34"/>
      <c r="H104" s="402"/>
      <c r="I104" s="402"/>
    </row>
    <row r="105" spans="1:9" ht="12.75" customHeight="1" hidden="1">
      <c r="A105" s="6"/>
      <c r="B105" s="29">
        <v>2630</v>
      </c>
      <c r="C105" s="30" t="s">
        <v>68</v>
      </c>
      <c r="D105" s="34"/>
      <c r="E105" s="34"/>
      <c r="F105" s="34"/>
      <c r="G105" s="34"/>
      <c r="H105" s="402"/>
      <c r="I105" s="402"/>
    </row>
    <row r="106" spans="1:9" ht="12.75" hidden="1">
      <c r="A106" s="6"/>
      <c r="B106" s="27">
        <v>2700</v>
      </c>
      <c r="C106" s="28" t="s">
        <v>69</v>
      </c>
      <c r="D106" s="33">
        <f>D107+D108+D109</f>
        <v>0</v>
      </c>
      <c r="E106" s="33">
        <f>E107+E108+E109</f>
        <v>0</v>
      </c>
      <c r="F106" s="33">
        <f>F107+F108+F109</f>
        <v>0</v>
      </c>
      <c r="G106" s="33">
        <f>G107+G108+G109</f>
        <v>0</v>
      </c>
      <c r="H106" s="402"/>
      <c r="I106" s="402"/>
    </row>
    <row r="107" spans="1:9" ht="12.75" customHeight="1" hidden="1">
      <c r="A107" s="6"/>
      <c r="B107" s="29">
        <v>2710</v>
      </c>
      <c r="C107" s="30" t="s">
        <v>70</v>
      </c>
      <c r="D107" s="42"/>
      <c r="E107" s="42"/>
      <c r="F107" s="42"/>
      <c r="G107" s="42"/>
      <c r="H107" s="402"/>
      <c r="I107" s="402"/>
    </row>
    <row r="108" spans="1:9" ht="12.75" customHeight="1" hidden="1">
      <c r="A108" s="6"/>
      <c r="B108" s="29">
        <v>2720</v>
      </c>
      <c r="C108" s="30" t="s">
        <v>71</v>
      </c>
      <c r="D108" s="42"/>
      <c r="E108" s="42"/>
      <c r="F108" s="34"/>
      <c r="G108" s="42"/>
      <c r="H108" s="402"/>
      <c r="I108" s="402"/>
    </row>
    <row r="109" spans="1:9" ht="12.75" hidden="1">
      <c r="A109" s="6"/>
      <c r="B109" s="29">
        <v>2730</v>
      </c>
      <c r="C109" s="30" t="s">
        <v>72</v>
      </c>
      <c r="D109" s="34"/>
      <c r="E109" s="34"/>
      <c r="F109" s="34"/>
      <c r="G109" s="42"/>
      <c r="H109" s="402"/>
      <c r="I109" s="402"/>
    </row>
    <row r="110" spans="1:9" ht="12.75" customHeight="1" hidden="1">
      <c r="A110" s="6"/>
      <c r="B110" s="27">
        <v>2800</v>
      </c>
      <c r="C110" s="28" t="s">
        <v>73</v>
      </c>
      <c r="D110" s="42"/>
      <c r="E110" s="42"/>
      <c r="F110" s="34"/>
      <c r="G110" s="42"/>
      <c r="H110" s="402"/>
      <c r="I110" s="402"/>
    </row>
    <row r="111" spans="1:9" ht="13.5" customHeight="1">
      <c r="A111" s="21"/>
      <c r="B111" s="27">
        <v>3000</v>
      </c>
      <c r="C111" s="28" t="s">
        <v>40</v>
      </c>
      <c r="D111" s="40">
        <f>D112+D126</f>
        <v>0</v>
      </c>
      <c r="E111" s="40">
        <f>E112+E126</f>
        <v>8784.166</v>
      </c>
      <c r="F111" s="40">
        <f>F112+F126</f>
        <v>0</v>
      </c>
      <c r="G111" s="40">
        <f>G112+G126</f>
        <v>24400.46</v>
      </c>
      <c r="H111" s="403" t="s">
        <v>121</v>
      </c>
      <c r="I111" s="404"/>
    </row>
    <row r="112" spans="1:10" ht="13.5" customHeight="1">
      <c r="A112" s="21"/>
      <c r="B112" s="27">
        <v>3100</v>
      </c>
      <c r="C112" s="28" t="s">
        <v>41</v>
      </c>
      <c r="D112" s="40">
        <f>D113+D114+D117+D120+D124+D125+D126</f>
        <v>0</v>
      </c>
      <c r="E112" s="40">
        <f>E113+E114+E117+E120+E124+E125+E126</f>
        <v>8784.166</v>
      </c>
      <c r="F112" s="40">
        <f>F113+F114+F117+F120+F124+F125+F126</f>
        <v>0</v>
      </c>
      <c r="G112" s="40">
        <f>G113+G114+G117+G120+G124+G125+G126</f>
        <v>24400.46</v>
      </c>
      <c r="H112" s="405"/>
      <c r="I112" s="406"/>
      <c r="J112" s="51"/>
    </row>
    <row r="113" spans="1:9" ht="13.5" customHeight="1" hidden="1">
      <c r="A113" s="21"/>
      <c r="B113" s="29">
        <v>3110</v>
      </c>
      <c r="C113" s="30" t="s">
        <v>74</v>
      </c>
      <c r="D113" s="42"/>
      <c r="E113" s="42"/>
      <c r="F113" s="41"/>
      <c r="G113" s="41"/>
      <c r="H113" s="405"/>
      <c r="I113" s="406"/>
    </row>
    <row r="114" spans="1:9" ht="12.75" customHeight="1" hidden="1">
      <c r="A114" s="21"/>
      <c r="B114" s="29">
        <v>3120</v>
      </c>
      <c r="C114" s="30" t="s">
        <v>75</v>
      </c>
      <c r="D114" s="40">
        <f>D115+D116</f>
        <v>0</v>
      </c>
      <c r="E114" s="40">
        <f>E115+E116</f>
        <v>0</v>
      </c>
      <c r="F114" s="40">
        <f>F115+F116</f>
        <v>0</v>
      </c>
      <c r="G114" s="40">
        <f>G115+G116</f>
        <v>0</v>
      </c>
      <c r="H114" s="405"/>
      <c r="I114" s="406"/>
    </row>
    <row r="115" spans="1:9" ht="12.75" customHeight="1" hidden="1">
      <c r="A115" s="21"/>
      <c r="B115" s="29">
        <v>3121</v>
      </c>
      <c r="C115" s="30" t="s">
        <v>76</v>
      </c>
      <c r="D115" s="41"/>
      <c r="E115" s="41"/>
      <c r="F115" s="41"/>
      <c r="G115" s="41"/>
      <c r="H115" s="405"/>
      <c r="I115" s="406"/>
    </row>
    <row r="116" spans="1:9" ht="12.75" customHeight="1" hidden="1">
      <c r="A116" s="21"/>
      <c r="B116" s="29">
        <v>3122</v>
      </c>
      <c r="C116" s="30" t="s">
        <v>77</v>
      </c>
      <c r="D116" s="41"/>
      <c r="E116" s="41"/>
      <c r="F116" s="41"/>
      <c r="G116" s="41"/>
      <c r="H116" s="405"/>
      <c r="I116" s="406"/>
    </row>
    <row r="117" spans="1:9" ht="12" customHeight="1" hidden="1">
      <c r="A117" s="21"/>
      <c r="B117" s="29">
        <v>3130</v>
      </c>
      <c r="C117" s="30" t="s">
        <v>78</v>
      </c>
      <c r="D117" s="40">
        <f>D118+D119</f>
        <v>0</v>
      </c>
      <c r="E117" s="40">
        <f>E118+E119</f>
        <v>0</v>
      </c>
      <c r="F117" s="40">
        <f>F118+F119</f>
        <v>0</v>
      </c>
      <c r="G117" s="40">
        <f>G118+G119</f>
        <v>0</v>
      </c>
      <c r="H117" s="405"/>
      <c r="I117" s="406"/>
    </row>
    <row r="118" spans="1:9" ht="12.75" customHeight="1" hidden="1">
      <c r="A118" s="21"/>
      <c r="B118" s="29">
        <v>3131</v>
      </c>
      <c r="C118" s="30" t="s">
        <v>79</v>
      </c>
      <c r="D118" s="41"/>
      <c r="E118" s="41"/>
      <c r="F118" s="41"/>
      <c r="G118" s="41"/>
      <c r="H118" s="405"/>
      <c r="I118" s="406"/>
    </row>
    <row r="119" spans="1:9" ht="12.75" customHeight="1" hidden="1">
      <c r="A119" s="21"/>
      <c r="B119" s="29">
        <v>3132</v>
      </c>
      <c r="C119" s="30" t="s">
        <v>80</v>
      </c>
      <c r="D119" s="41"/>
      <c r="E119" s="41"/>
      <c r="F119" s="41"/>
      <c r="G119" s="41"/>
      <c r="H119" s="405"/>
      <c r="I119" s="406"/>
    </row>
    <row r="120" spans="1:9" ht="12.75" customHeight="1">
      <c r="A120" s="21"/>
      <c r="B120" s="29">
        <v>3140</v>
      </c>
      <c r="C120" s="30" t="s">
        <v>81</v>
      </c>
      <c r="D120" s="40">
        <f>D121+D122+D123</f>
        <v>0</v>
      </c>
      <c r="E120" s="40">
        <f>E121+E122+E123</f>
        <v>8784.166</v>
      </c>
      <c r="F120" s="40">
        <f>F121+F122+F123</f>
        <v>0</v>
      </c>
      <c r="G120" s="40">
        <f>G121+G122+G123</f>
        <v>24400.46</v>
      </c>
      <c r="H120" s="405"/>
      <c r="I120" s="406"/>
    </row>
    <row r="121" spans="1:9" ht="12.75" customHeight="1" hidden="1">
      <c r="A121" s="21"/>
      <c r="B121" s="29">
        <v>3141</v>
      </c>
      <c r="C121" s="30" t="s">
        <v>82</v>
      </c>
      <c r="D121" s="41"/>
      <c r="E121" s="41"/>
      <c r="F121" s="41"/>
      <c r="G121" s="41"/>
      <c r="H121" s="405"/>
      <c r="I121" s="406"/>
    </row>
    <row r="122" spans="1:9" ht="12.75" customHeight="1">
      <c r="A122" s="21"/>
      <c r="B122" s="29">
        <v>3142</v>
      </c>
      <c r="C122" s="30" t="s">
        <v>83</v>
      </c>
      <c r="D122" s="41">
        <f>'2019-3 СВОД'!D1626</f>
        <v>0</v>
      </c>
      <c r="E122" s="41">
        <f>'2019-3 СВОД'!E1626</f>
        <v>8784.166</v>
      </c>
      <c r="F122" s="41">
        <f>'2019-3 СВОД'!F1626</f>
        <v>0</v>
      </c>
      <c r="G122" s="41">
        <f>'2019-3 СВОД'!G1626</f>
        <v>24400.46</v>
      </c>
      <c r="H122" s="407"/>
      <c r="I122" s="408"/>
    </row>
    <row r="123" spans="1:9" ht="12.75" customHeight="1" hidden="1">
      <c r="A123" s="21"/>
      <c r="B123" s="29">
        <v>3143</v>
      </c>
      <c r="C123" s="30" t="s">
        <v>84</v>
      </c>
      <c r="D123" s="41"/>
      <c r="E123" s="41"/>
      <c r="F123" s="41"/>
      <c r="G123" s="41"/>
      <c r="H123" s="402"/>
      <c r="I123" s="402"/>
    </row>
    <row r="124" spans="1:9" ht="12.75" customHeight="1" hidden="1">
      <c r="A124" s="21"/>
      <c r="B124" s="29">
        <v>3150</v>
      </c>
      <c r="C124" s="30" t="s">
        <v>85</v>
      </c>
      <c r="D124" s="41"/>
      <c r="E124" s="41"/>
      <c r="F124" s="41"/>
      <c r="G124" s="41"/>
      <c r="H124" s="402"/>
      <c r="I124" s="402"/>
    </row>
    <row r="125" spans="1:9" ht="12.75" customHeight="1" hidden="1">
      <c r="A125" s="21"/>
      <c r="B125" s="29">
        <v>3160</v>
      </c>
      <c r="C125" s="30" t="s">
        <v>86</v>
      </c>
      <c r="D125" s="41"/>
      <c r="E125" s="41"/>
      <c r="F125" s="41"/>
      <c r="G125" s="41"/>
      <c r="H125" s="402"/>
      <c r="I125" s="402"/>
    </row>
    <row r="126" spans="1:9" ht="12.75" customHeight="1" hidden="1">
      <c r="A126" s="21"/>
      <c r="B126" s="27">
        <v>3200</v>
      </c>
      <c r="C126" s="28" t="s">
        <v>87</v>
      </c>
      <c r="D126" s="40">
        <f>D127+D128+D129+D130</f>
        <v>0</v>
      </c>
      <c r="E126" s="40">
        <f>E127+E128+E129+E130</f>
        <v>0</v>
      </c>
      <c r="F126" s="40">
        <f>F127+F128+F129+F130</f>
        <v>0</v>
      </c>
      <c r="G126" s="40">
        <f>G127+G128+G129+G130</f>
        <v>0</v>
      </c>
      <c r="H126" s="402"/>
      <c r="I126" s="402"/>
    </row>
    <row r="127" spans="1:9" ht="12.75" customHeight="1" hidden="1">
      <c r="A127" s="21"/>
      <c r="B127" s="29">
        <v>3210</v>
      </c>
      <c r="C127" s="30" t="s">
        <v>88</v>
      </c>
      <c r="D127" s="41"/>
      <c r="E127" s="41"/>
      <c r="F127" s="41"/>
      <c r="G127" s="41"/>
      <c r="H127" s="402"/>
      <c r="I127" s="402"/>
    </row>
    <row r="128" spans="1:9" ht="12.75" customHeight="1" hidden="1">
      <c r="A128" s="21"/>
      <c r="B128" s="29">
        <v>3220</v>
      </c>
      <c r="C128" s="30" t="s">
        <v>89</v>
      </c>
      <c r="D128" s="41"/>
      <c r="E128" s="41"/>
      <c r="F128" s="41"/>
      <c r="G128" s="41"/>
      <c r="H128" s="402"/>
      <c r="I128" s="402"/>
    </row>
    <row r="129" spans="1:9" ht="12.75" customHeight="1" hidden="1">
      <c r="A129" s="21"/>
      <c r="B129" s="29">
        <v>3230</v>
      </c>
      <c r="C129" s="30" t="s">
        <v>90</v>
      </c>
      <c r="D129" s="41"/>
      <c r="E129" s="41"/>
      <c r="F129" s="41"/>
      <c r="G129" s="41"/>
      <c r="H129" s="402"/>
      <c r="I129" s="402"/>
    </row>
    <row r="130" spans="1:9" ht="12.75" customHeight="1" hidden="1">
      <c r="A130" s="21"/>
      <c r="B130" s="29">
        <v>3240</v>
      </c>
      <c r="C130" s="30" t="s">
        <v>91</v>
      </c>
      <c r="D130" s="41"/>
      <c r="E130" s="41"/>
      <c r="F130" s="41"/>
      <c r="G130" s="41"/>
      <c r="H130" s="402"/>
      <c r="I130" s="402"/>
    </row>
    <row r="131" spans="1:9" s="19" customFormat="1" ht="13.5" customHeight="1">
      <c r="A131" s="7"/>
      <c r="B131" s="7"/>
      <c r="C131" s="20" t="s">
        <v>3</v>
      </c>
      <c r="D131" s="34">
        <f>D76+D111</f>
        <v>0</v>
      </c>
      <c r="E131" s="34">
        <f>E76+E111</f>
        <v>8784.166</v>
      </c>
      <c r="F131" s="34">
        <f>F76+F111</f>
        <v>0</v>
      </c>
      <c r="G131" s="34">
        <f>G76+G111</f>
        <v>24400.46</v>
      </c>
      <c r="H131" s="402"/>
      <c r="I131" s="402"/>
    </row>
    <row r="132" spans="1:8" ht="15">
      <c r="A132" s="115" t="s">
        <v>209</v>
      </c>
      <c r="B132" s="115" t="s">
        <v>209</v>
      </c>
      <c r="C132" s="115"/>
      <c r="D132" s="115"/>
      <c r="E132" s="115"/>
      <c r="F132" s="115"/>
      <c r="G132" s="115"/>
      <c r="H132" s="121"/>
    </row>
    <row r="133" spans="1:9" ht="15" customHeight="1">
      <c r="A133" s="444" t="s">
        <v>25</v>
      </c>
      <c r="B133" s="444"/>
      <c r="C133" s="444"/>
      <c r="D133" s="444"/>
      <c r="E133" s="444"/>
      <c r="F133" s="444"/>
      <c r="G133" s="444"/>
      <c r="H133" s="444"/>
      <c r="I133" s="444"/>
    </row>
    <row r="134" spans="1:9" ht="30" customHeight="1">
      <c r="A134" s="14" t="s">
        <v>20</v>
      </c>
      <c r="B134" s="8" t="s">
        <v>0</v>
      </c>
      <c r="C134" s="14" t="s">
        <v>1</v>
      </c>
      <c r="D134" s="14" t="s">
        <v>14</v>
      </c>
      <c r="E134" s="441" t="s">
        <v>15</v>
      </c>
      <c r="F134" s="441"/>
      <c r="G134" s="441"/>
      <c r="H134" s="14" t="s">
        <v>214</v>
      </c>
      <c r="I134" s="14" t="s">
        <v>215</v>
      </c>
    </row>
    <row r="135" spans="1:9" ht="13.5" thickBot="1">
      <c r="A135" s="17">
        <v>1</v>
      </c>
      <c r="B135" s="17">
        <v>1</v>
      </c>
      <c r="C135" s="38">
        <v>2</v>
      </c>
      <c r="D135" s="38">
        <v>3</v>
      </c>
      <c r="E135" s="427">
        <v>4</v>
      </c>
      <c r="F135" s="427"/>
      <c r="G135" s="427"/>
      <c r="H135" s="38">
        <v>5</v>
      </c>
      <c r="I135" s="38">
        <v>6</v>
      </c>
    </row>
    <row r="136" spans="1:9" s="55" customFormat="1" ht="13.5" thickTop="1">
      <c r="A136" s="54"/>
      <c r="B136" s="167">
        <f>B17</f>
        <v>1117360</v>
      </c>
      <c r="C136" s="169" t="str">
        <f>C17</f>
        <v>Програма Виконання інвестиційних проектів</v>
      </c>
      <c r="D136" s="114"/>
      <c r="E136" s="451"/>
      <c r="F136" s="451"/>
      <c r="G136" s="451"/>
      <c r="H136" s="114"/>
      <c r="I136" s="114"/>
    </row>
    <row r="137" spans="1:9" s="153" customFormat="1" ht="26.25">
      <c r="A137" s="68"/>
      <c r="B137" s="69">
        <f>B18</f>
        <v>1117361</v>
      </c>
      <c r="C137" s="213" t="str">
        <f>C18</f>
        <v>Підпрограма Співфінансування інвестиційних проектів, що реалізуються за рахунок коштів державного фонду регіонального розвитку</v>
      </c>
      <c r="D137" s="214"/>
      <c r="E137" s="214"/>
      <c r="F137" s="214"/>
      <c r="G137" s="214"/>
      <c r="H137" s="214"/>
      <c r="I137" s="181"/>
    </row>
    <row r="138" spans="1:9" s="153" customFormat="1" ht="12.75">
      <c r="A138" s="68"/>
      <c r="B138" s="223"/>
      <c r="C138" s="556" t="s">
        <v>341</v>
      </c>
      <c r="D138" s="557"/>
      <c r="E138" s="557"/>
      <c r="F138" s="557"/>
      <c r="G138" s="456"/>
      <c r="H138" s="456"/>
      <c r="I138" s="457"/>
    </row>
    <row r="139" spans="1:9" s="78" customFormat="1" ht="12.75">
      <c r="A139" s="175"/>
      <c r="B139" s="224"/>
      <c r="C139" s="217" t="s">
        <v>342</v>
      </c>
      <c r="D139" s="218"/>
      <c r="E139" s="558"/>
      <c r="F139" s="559"/>
      <c r="G139" s="559"/>
      <c r="H139" s="215"/>
      <c r="I139" s="216"/>
    </row>
    <row r="140" spans="1:9" s="78" customFormat="1" ht="12.75">
      <c r="A140" s="175"/>
      <c r="B140" s="224" t="s">
        <v>353</v>
      </c>
      <c r="C140" s="219" t="s">
        <v>343</v>
      </c>
      <c r="D140" s="220" t="s">
        <v>344</v>
      </c>
      <c r="E140" s="555" t="s">
        <v>477</v>
      </c>
      <c r="F140" s="555"/>
      <c r="G140" s="555"/>
      <c r="H140" s="215"/>
      <c r="I140" s="221">
        <v>7547.212</v>
      </c>
    </row>
    <row r="141" spans="1:9" s="78" customFormat="1" ht="12.75">
      <c r="A141" s="175"/>
      <c r="B141" s="224"/>
      <c r="C141" s="217" t="s">
        <v>345</v>
      </c>
      <c r="D141" s="218"/>
      <c r="E141" s="554"/>
      <c r="F141" s="554"/>
      <c r="G141" s="554"/>
      <c r="H141" s="215"/>
      <c r="I141" s="218"/>
    </row>
    <row r="142" spans="1:9" s="78" customFormat="1" ht="12.75">
      <c r="A142" s="175"/>
      <c r="B142" s="224" t="s">
        <v>354</v>
      </c>
      <c r="C142" s="219" t="s">
        <v>346</v>
      </c>
      <c r="D142" s="220" t="s">
        <v>347</v>
      </c>
      <c r="E142" s="555" t="s">
        <v>477</v>
      </c>
      <c r="F142" s="555"/>
      <c r="G142" s="555"/>
      <c r="H142" s="215"/>
      <c r="I142" s="220">
        <v>1</v>
      </c>
    </row>
    <row r="143" spans="1:9" s="78" customFormat="1" ht="12.75">
      <c r="A143" s="175"/>
      <c r="B143" s="224"/>
      <c r="C143" s="217" t="s">
        <v>348</v>
      </c>
      <c r="D143" s="218"/>
      <c r="E143" s="554"/>
      <c r="F143" s="554"/>
      <c r="G143" s="554"/>
      <c r="H143" s="215"/>
      <c r="I143" s="218"/>
    </row>
    <row r="144" spans="1:9" s="78" customFormat="1" ht="12.75">
      <c r="A144" s="175"/>
      <c r="B144" s="224" t="s">
        <v>355</v>
      </c>
      <c r="C144" s="219" t="s">
        <v>349</v>
      </c>
      <c r="D144" s="220" t="s">
        <v>344</v>
      </c>
      <c r="E144" s="555" t="s">
        <v>350</v>
      </c>
      <c r="F144" s="555"/>
      <c r="G144" s="555"/>
      <c r="H144" s="190"/>
      <c r="I144" s="221">
        <f>I140</f>
        <v>7547.212</v>
      </c>
    </row>
    <row r="145" spans="1:9" s="78" customFormat="1" ht="12.75">
      <c r="A145" s="175"/>
      <c r="B145" s="224"/>
      <c r="C145" s="217" t="s">
        <v>351</v>
      </c>
      <c r="D145" s="220"/>
      <c r="E145" s="555"/>
      <c r="F145" s="555"/>
      <c r="G145" s="555"/>
      <c r="H145" s="190"/>
      <c r="I145" s="220"/>
    </row>
    <row r="146" spans="1:9" s="78" customFormat="1" ht="12.75">
      <c r="A146" s="175"/>
      <c r="B146" s="224" t="s">
        <v>356</v>
      </c>
      <c r="C146" s="222" t="s">
        <v>352</v>
      </c>
      <c r="D146" s="220" t="s">
        <v>123</v>
      </c>
      <c r="E146" s="555" t="s">
        <v>350</v>
      </c>
      <c r="F146" s="555"/>
      <c r="G146" s="555"/>
      <c r="H146" s="190"/>
      <c r="I146" s="220">
        <v>100</v>
      </c>
    </row>
    <row r="147" spans="1:9" s="78" customFormat="1" ht="12.75">
      <c r="A147" s="175"/>
      <c r="B147" s="223"/>
      <c r="C147" s="556" t="s">
        <v>361</v>
      </c>
      <c r="D147" s="557"/>
      <c r="E147" s="557"/>
      <c r="F147" s="557"/>
      <c r="G147" s="456"/>
      <c r="H147" s="456"/>
      <c r="I147" s="457"/>
    </row>
    <row r="148" spans="1:9" s="78" customFormat="1" ht="12.75">
      <c r="A148" s="175"/>
      <c r="B148" s="224"/>
      <c r="C148" s="217" t="s">
        <v>342</v>
      </c>
      <c r="D148" s="218"/>
      <c r="E148" s="558"/>
      <c r="F148" s="559"/>
      <c r="G148" s="559"/>
      <c r="H148" s="215"/>
      <c r="I148" s="216"/>
    </row>
    <row r="149" spans="1:9" s="78" customFormat="1" ht="12.75">
      <c r="A149" s="175"/>
      <c r="B149" s="224" t="s">
        <v>357</v>
      </c>
      <c r="C149" s="219" t="s">
        <v>363</v>
      </c>
      <c r="D149" s="220" t="s">
        <v>344</v>
      </c>
      <c r="E149" s="555" t="s">
        <v>477</v>
      </c>
      <c r="F149" s="555"/>
      <c r="G149" s="555"/>
      <c r="H149" s="215"/>
      <c r="I149" s="221">
        <v>9220.386</v>
      </c>
    </row>
    <row r="150" spans="1:9" s="78" customFormat="1" ht="12.75">
      <c r="A150" s="175"/>
      <c r="B150" s="224"/>
      <c r="C150" s="217" t="s">
        <v>345</v>
      </c>
      <c r="D150" s="218"/>
      <c r="E150" s="554"/>
      <c r="F150" s="554"/>
      <c r="G150" s="554"/>
      <c r="H150" s="215"/>
      <c r="I150" s="218"/>
    </row>
    <row r="151" spans="1:9" s="78" customFormat="1" ht="12.75">
      <c r="A151" s="175"/>
      <c r="B151" s="224" t="s">
        <v>358</v>
      </c>
      <c r="C151" s="219" t="s">
        <v>364</v>
      </c>
      <c r="D151" s="220" t="s">
        <v>347</v>
      </c>
      <c r="E151" s="555" t="s">
        <v>477</v>
      </c>
      <c r="F151" s="555"/>
      <c r="G151" s="555"/>
      <c r="H151" s="215"/>
      <c r="I151" s="220">
        <v>1</v>
      </c>
    </row>
    <row r="152" spans="1:9" s="78" customFormat="1" ht="12.75">
      <c r="A152" s="175"/>
      <c r="B152" s="224"/>
      <c r="C152" s="217" t="s">
        <v>348</v>
      </c>
      <c r="D152" s="218"/>
      <c r="E152" s="554"/>
      <c r="F152" s="554"/>
      <c r="G152" s="554"/>
      <c r="H152" s="215"/>
      <c r="I152" s="218"/>
    </row>
    <row r="153" spans="1:9" s="78" customFormat="1" ht="12.75">
      <c r="A153" s="175"/>
      <c r="B153" s="224" t="s">
        <v>359</v>
      </c>
      <c r="C153" s="219" t="s">
        <v>365</v>
      </c>
      <c r="D153" s="220" t="s">
        <v>344</v>
      </c>
      <c r="E153" s="555" t="s">
        <v>350</v>
      </c>
      <c r="F153" s="555"/>
      <c r="G153" s="555"/>
      <c r="H153" s="190"/>
      <c r="I153" s="221">
        <f>I149</f>
        <v>9220.386</v>
      </c>
    </row>
    <row r="154" spans="1:9" s="78" customFormat="1" ht="12.75">
      <c r="A154" s="175"/>
      <c r="B154" s="224"/>
      <c r="C154" s="217" t="s">
        <v>351</v>
      </c>
      <c r="D154" s="220"/>
      <c r="E154" s="555"/>
      <c r="F154" s="555"/>
      <c r="G154" s="555"/>
      <c r="H154" s="190"/>
      <c r="I154" s="220"/>
    </row>
    <row r="155" spans="1:9" s="78" customFormat="1" ht="12.75">
      <c r="A155" s="175"/>
      <c r="B155" s="224" t="s">
        <v>360</v>
      </c>
      <c r="C155" s="222" t="s">
        <v>366</v>
      </c>
      <c r="D155" s="220" t="s">
        <v>123</v>
      </c>
      <c r="E155" s="555" t="s">
        <v>350</v>
      </c>
      <c r="F155" s="555"/>
      <c r="G155" s="555"/>
      <c r="H155" s="190"/>
      <c r="I155" s="220">
        <v>100</v>
      </c>
    </row>
    <row r="156" spans="1:9" s="78" customFormat="1" ht="12.75">
      <c r="A156" s="175"/>
      <c r="B156" s="69">
        <f>B75</f>
        <v>1117366</v>
      </c>
      <c r="C156" s="504" t="str">
        <f>C75</f>
        <v>Підпрограма Реалiзацiя проектiв в рамках Надзвичайної кредитної програми для вiдновлення України</v>
      </c>
      <c r="D156" s="505"/>
      <c r="E156" s="505"/>
      <c r="F156" s="505"/>
      <c r="G156" s="505"/>
      <c r="H156" s="505"/>
      <c r="I156" s="506"/>
    </row>
    <row r="157" spans="1:9" s="153" customFormat="1" ht="12.75">
      <c r="A157" s="68"/>
      <c r="B157" s="223"/>
      <c r="C157" s="455" t="s">
        <v>362</v>
      </c>
      <c r="D157" s="456"/>
      <c r="E157" s="456"/>
      <c r="F157" s="456"/>
      <c r="G157" s="456"/>
      <c r="H157" s="456"/>
      <c r="I157" s="457"/>
    </row>
    <row r="158" spans="1:9" s="60" customFormat="1" ht="12.75">
      <c r="A158" s="58"/>
      <c r="B158" s="224"/>
      <c r="C158" s="217" t="s">
        <v>342</v>
      </c>
      <c r="D158" s="218"/>
      <c r="E158" s="558"/>
      <c r="F158" s="559"/>
      <c r="G158" s="559"/>
      <c r="H158" s="215"/>
      <c r="I158" s="216"/>
    </row>
    <row r="159" spans="1:9" s="60" customFormat="1" ht="12.75">
      <c r="A159" s="58"/>
      <c r="B159" s="224" t="s">
        <v>353</v>
      </c>
      <c r="C159" s="219" t="s">
        <v>343</v>
      </c>
      <c r="D159" s="220" t="s">
        <v>344</v>
      </c>
      <c r="E159" s="555" t="s">
        <v>477</v>
      </c>
      <c r="F159" s="555"/>
      <c r="G159" s="555"/>
      <c r="H159" s="215"/>
      <c r="I159" s="221">
        <v>24400.46</v>
      </c>
    </row>
    <row r="160" spans="1:9" s="60" customFormat="1" ht="12.75">
      <c r="A160" s="58"/>
      <c r="B160" s="224"/>
      <c r="C160" s="217" t="s">
        <v>345</v>
      </c>
      <c r="D160" s="218"/>
      <c r="E160" s="554"/>
      <c r="F160" s="554"/>
      <c r="G160" s="554"/>
      <c r="H160" s="215"/>
      <c r="I160" s="218"/>
    </row>
    <row r="161" spans="1:9" s="60" customFormat="1" ht="12.75">
      <c r="A161" s="58"/>
      <c r="B161" s="224" t="s">
        <v>354</v>
      </c>
      <c r="C161" s="219" t="s">
        <v>346</v>
      </c>
      <c r="D161" s="220" t="s">
        <v>347</v>
      </c>
      <c r="E161" s="555" t="s">
        <v>477</v>
      </c>
      <c r="F161" s="555"/>
      <c r="G161" s="555"/>
      <c r="H161" s="215"/>
      <c r="I161" s="220">
        <v>1</v>
      </c>
    </row>
    <row r="162" spans="1:9" s="60" customFormat="1" ht="12.75">
      <c r="A162" s="58"/>
      <c r="B162" s="224"/>
      <c r="C162" s="217" t="s">
        <v>348</v>
      </c>
      <c r="D162" s="218"/>
      <c r="E162" s="554"/>
      <c r="F162" s="554"/>
      <c r="G162" s="554"/>
      <c r="H162" s="215"/>
      <c r="I162" s="218"/>
    </row>
    <row r="163" spans="1:9" s="60" customFormat="1" ht="12.75" customHeight="1">
      <c r="A163" s="58"/>
      <c r="B163" s="224" t="s">
        <v>355</v>
      </c>
      <c r="C163" s="219" t="s">
        <v>349</v>
      </c>
      <c r="D163" s="220" t="s">
        <v>344</v>
      </c>
      <c r="E163" s="555" t="s">
        <v>350</v>
      </c>
      <c r="F163" s="555"/>
      <c r="G163" s="555"/>
      <c r="H163" s="190"/>
      <c r="I163" s="221">
        <f>I159</f>
        <v>24400.46</v>
      </c>
    </row>
    <row r="164" spans="1:9" s="60" customFormat="1" ht="12.75">
      <c r="A164" s="58"/>
      <c r="B164" s="224"/>
      <c r="C164" s="217" t="s">
        <v>351</v>
      </c>
      <c r="D164" s="220"/>
      <c r="E164" s="555"/>
      <c r="F164" s="555"/>
      <c r="G164" s="555"/>
      <c r="H164" s="190"/>
      <c r="I164" s="220"/>
    </row>
    <row r="165" spans="1:9" s="60" customFormat="1" ht="12.75" customHeight="1">
      <c r="A165" s="58"/>
      <c r="B165" s="224" t="s">
        <v>356</v>
      </c>
      <c r="C165" s="222" t="s">
        <v>352</v>
      </c>
      <c r="D165" s="220" t="s">
        <v>123</v>
      </c>
      <c r="E165" s="555" t="s">
        <v>350</v>
      </c>
      <c r="F165" s="555"/>
      <c r="G165" s="555"/>
      <c r="H165" s="190"/>
      <c r="I165" s="220">
        <v>100</v>
      </c>
    </row>
    <row r="166" ht="12.75">
      <c r="A166" s="22"/>
    </row>
    <row r="167" spans="1:9" ht="30.75" customHeight="1">
      <c r="A167" s="444" t="s">
        <v>27</v>
      </c>
      <c r="B167" s="444"/>
      <c r="C167" s="444"/>
      <c r="D167" s="444"/>
      <c r="E167" s="444"/>
      <c r="F167" s="444"/>
      <c r="G167" s="444"/>
      <c r="H167" s="444"/>
      <c r="I167" s="444"/>
    </row>
    <row r="168" spans="1:9" ht="15">
      <c r="A168" s="446"/>
      <c r="B168" s="446"/>
      <c r="C168" s="446"/>
      <c r="D168" s="446"/>
      <c r="E168" s="446"/>
      <c r="F168" s="446"/>
      <c r="G168" s="446"/>
      <c r="H168" s="446"/>
      <c r="I168" s="446"/>
    </row>
    <row r="169" spans="1:9" ht="15">
      <c r="A169" s="446"/>
      <c r="B169" s="446"/>
      <c r="C169" s="446"/>
      <c r="D169" s="446"/>
      <c r="E169" s="446"/>
      <c r="F169" s="446"/>
      <c r="G169" s="446"/>
      <c r="H169" s="446"/>
      <c r="I169" s="446"/>
    </row>
    <row r="170" spans="1:9" ht="15">
      <c r="A170" s="442" t="s">
        <v>210</v>
      </c>
      <c r="B170" s="442"/>
      <c r="C170" s="442"/>
      <c r="D170" s="442"/>
      <c r="E170" s="442"/>
      <c r="F170" s="442"/>
      <c r="G170" s="442"/>
      <c r="H170" s="442"/>
      <c r="I170" s="442"/>
    </row>
    <row r="171" ht="12.75">
      <c r="I171" s="2" t="s">
        <v>4</v>
      </c>
    </row>
    <row r="172" spans="1:9" s="19" customFormat="1" ht="12.75">
      <c r="A172" s="443" t="s">
        <v>3</v>
      </c>
      <c r="B172" s="443"/>
      <c r="C172" s="23"/>
      <c r="D172" s="18"/>
      <c r="E172" s="18"/>
      <c r="F172" s="18"/>
      <c r="G172" s="18"/>
      <c r="H172" s="443"/>
      <c r="I172" s="443"/>
    </row>
    <row r="173" ht="12.75">
      <c r="A173" s="3"/>
    </row>
    <row r="174" spans="1:9" ht="30.75" customHeight="1">
      <c r="A174" s="444" t="s">
        <v>211</v>
      </c>
      <c r="B174" s="444"/>
      <c r="C174" s="444"/>
      <c r="D174" s="444"/>
      <c r="E174" s="444"/>
      <c r="F174" s="444"/>
      <c r="G174" s="444"/>
      <c r="H174" s="444"/>
      <c r="I174" s="444"/>
    </row>
    <row r="175" ht="12.75">
      <c r="I175" s="2" t="s">
        <v>4</v>
      </c>
    </row>
    <row r="176" spans="1:9" ht="36.75" customHeight="1">
      <c r="A176" s="441" t="s">
        <v>23</v>
      </c>
      <c r="B176" s="441"/>
      <c r="C176" s="441" t="s">
        <v>1</v>
      </c>
      <c r="D176" s="441" t="s">
        <v>7</v>
      </c>
      <c r="E176" s="441"/>
      <c r="F176" s="441" t="s">
        <v>178</v>
      </c>
      <c r="G176" s="441"/>
      <c r="H176" s="441" t="s">
        <v>212</v>
      </c>
      <c r="I176" s="441"/>
    </row>
    <row r="177" spans="1:9" ht="36" customHeight="1">
      <c r="A177" s="441"/>
      <c r="B177" s="441"/>
      <c r="C177" s="441"/>
      <c r="D177" s="14" t="s">
        <v>28</v>
      </c>
      <c r="E177" s="14" t="s">
        <v>36</v>
      </c>
      <c r="F177" s="14" t="s">
        <v>28</v>
      </c>
      <c r="G177" s="14" t="s">
        <v>36</v>
      </c>
      <c r="H177" s="441"/>
      <c r="I177" s="441"/>
    </row>
    <row r="178" spans="1:9" ht="13.5" thickBot="1">
      <c r="A178" s="445">
        <v>1</v>
      </c>
      <c r="B178" s="445"/>
      <c r="C178" s="17">
        <v>2</v>
      </c>
      <c r="D178" s="16">
        <v>3</v>
      </c>
      <c r="E178" s="16">
        <v>4</v>
      </c>
      <c r="F178" s="16">
        <v>5</v>
      </c>
      <c r="G178" s="16">
        <v>6</v>
      </c>
      <c r="H178" s="445">
        <v>7</v>
      </c>
      <c r="I178" s="445"/>
    </row>
    <row r="179" spans="1:9" ht="13.5" thickTop="1">
      <c r="A179" s="447"/>
      <c r="B179" s="447"/>
      <c r="C179" s="15"/>
      <c r="D179" s="25"/>
      <c r="E179" s="25"/>
      <c r="F179" s="25"/>
      <c r="G179" s="25"/>
      <c r="H179" s="440"/>
      <c r="I179" s="440"/>
    </row>
    <row r="180" spans="1:9" ht="12.75">
      <c r="A180" s="402"/>
      <c r="B180" s="402"/>
      <c r="C180" s="12"/>
      <c r="D180" s="11"/>
      <c r="E180" s="11"/>
      <c r="F180" s="11"/>
      <c r="G180" s="11"/>
      <c r="H180" s="427"/>
      <c r="I180" s="427"/>
    </row>
    <row r="181" spans="1:9" ht="12.75">
      <c r="A181" s="402"/>
      <c r="B181" s="402"/>
      <c r="C181" s="12"/>
      <c r="D181" s="11"/>
      <c r="E181" s="11"/>
      <c r="F181" s="11"/>
      <c r="G181" s="11"/>
      <c r="H181" s="427"/>
      <c r="I181" s="427"/>
    </row>
    <row r="182" spans="1:9" ht="12.75">
      <c r="A182" s="402"/>
      <c r="B182" s="402"/>
      <c r="C182" s="12"/>
      <c r="D182" s="11"/>
      <c r="E182" s="11"/>
      <c r="F182" s="11"/>
      <c r="G182" s="11"/>
      <c r="H182" s="427"/>
      <c r="I182" s="427"/>
    </row>
    <row r="183" spans="1:9" ht="12.75">
      <c r="A183" s="402"/>
      <c r="B183" s="402"/>
      <c r="C183" s="12"/>
      <c r="D183" s="11"/>
      <c r="E183" s="11"/>
      <c r="F183" s="11"/>
      <c r="G183" s="11"/>
      <c r="H183" s="427"/>
      <c r="I183" s="427"/>
    </row>
    <row r="184" ht="15">
      <c r="A184" s="1"/>
    </row>
    <row r="185" spans="1:9" ht="14.25" customHeight="1">
      <c r="A185" s="444" t="s">
        <v>25</v>
      </c>
      <c r="B185" s="444"/>
      <c r="C185" s="444"/>
      <c r="D185" s="444"/>
      <c r="E185" s="444"/>
      <c r="F185" s="444"/>
      <c r="G185" s="444"/>
      <c r="H185" s="444"/>
      <c r="I185" s="444"/>
    </row>
    <row r="186" spans="1:9" ht="72.75" customHeight="1">
      <c r="A186" s="14" t="s">
        <v>20</v>
      </c>
      <c r="B186" s="8" t="s">
        <v>0</v>
      </c>
      <c r="C186" s="14" t="s">
        <v>1</v>
      </c>
      <c r="D186" s="14" t="s">
        <v>14</v>
      </c>
      <c r="E186" s="14" t="s">
        <v>15</v>
      </c>
      <c r="F186" s="14" t="s">
        <v>29</v>
      </c>
      <c r="G186" s="14" t="s">
        <v>30</v>
      </c>
      <c r="H186" s="14" t="s">
        <v>31</v>
      </c>
      <c r="I186" s="14" t="s">
        <v>32</v>
      </c>
    </row>
    <row r="187" spans="1:9" ht="13.5" thickBot="1">
      <c r="A187" s="17">
        <v>1</v>
      </c>
      <c r="B187" s="17">
        <v>2</v>
      </c>
      <c r="C187" s="16">
        <v>3</v>
      </c>
      <c r="D187" s="16">
        <v>4</v>
      </c>
      <c r="E187" s="16">
        <v>5</v>
      </c>
      <c r="F187" s="16">
        <v>6</v>
      </c>
      <c r="G187" s="16">
        <v>7</v>
      </c>
      <c r="H187" s="16">
        <v>8</v>
      </c>
      <c r="I187" s="16">
        <v>9</v>
      </c>
    </row>
    <row r="188" spans="1:9" ht="13.5" hidden="1" thickTop="1">
      <c r="A188" s="24"/>
      <c r="B188" s="26"/>
      <c r="C188" s="26" t="s">
        <v>10</v>
      </c>
      <c r="D188" s="24"/>
      <c r="E188" s="24"/>
      <c r="F188" s="24"/>
      <c r="G188" s="24"/>
      <c r="H188" s="24"/>
      <c r="I188" s="24"/>
    </row>
    <row r="189" spans="1:9" ht="13.5" hidden="1" thickTop="1">
      <c r="A189" s="18"/>
      <c r="B189" s="12"/>
      <c r="C189" s="12" t="s">
        <v>26</v>
      </c>
      <c r="D189" s="18"/>
      <c r="E189" s="18"/>
      <c r="F189" s="18"/>
      <c r="G189" s="18"/>
      <c r="H189" s="18"/>
      <c r="I189" s="18"/>
    </row>
    <row r="190" spans="1:9" ht="13.5" hidden="1" thickTop="1">
      <c r="A190" s="18"/>
      <c r="B190" s="12"/>
      <c r="C190" s="12" t="s">
        <v>16</v>
      </c>
      <c r="D190" s="18"/>
      <c r="E190" s="18"/>
      <c r="F190" s="18"/>
      <c r="G190" s="18"/>
      <c r="H190" s="18"/>
      <c r="I190" s="18"/>
    </row>
    <row r="191" spans="1:9" ht="13.5" hidden="1" thickTop="1">
      <c r="A191" s="18"/>
      <c r="B191" s="12"/>
      <c r="C191" s="12" t="s">
        <v>2</v>
      </c>
      <c r="D191" s="18"/>
      <c r="E191" s="18"/>
      <c r="F191" s="18"/>
      <c r="G191" s="18"/>
      <c r="H191" s="18"/>
      <c r="I191" s="18"/>
    </row>
    <row r="192" spans="1:9" ht="13.5" hidden="1" thickTop="1">
      <c r="A192" s="18"/>
      <c r="B192" s="12"/>
      <c r="C192" s="12" t="s">
        <v>17</v>
      </c>
      <c r="D192" s="18"/>
      <c r="E192" s="18"/>
      <c r="F192" s="18"/>
      <c r="G192" s="18"/>
      <c r="H192" s="18"/>
      <c r="I192" s="18"/>
    </row>
    <row r="193" spans="1:9" ht="13.5" hidden="1" thickTop="1">
      <c r="A193" s="18"/>
      <c r="B193" s="12"/>
      <c r="C193" s="12" t="s">
        <v>2</v>
      </c>
      <c r="D193" s="18"/>
      <c r="E193" s="18"/>
      <c r="F193" s="18"/>
      <c r="G193" s="18"/>
      <c r="H193" s="18"/>
      <c r="I193" s="18"/>
    </row>
    <row r="194" spans="1:9" ht="13.5" hidden="1" thickTop="1">
      <c r="A194" s="18"/>
      <c r="B194" s="12"/>
      <c r="C194" s="12" t="s">
        <v>18</v>
      </c>
      <c r="D194" s="18"/>
      <c r="E194" s="18"/>
      <c r="F194" s="18"/>
      <c r="G194" s="18"/>
      <c r="H194" s="18"/>
      <c r="I194" s="18"/>
    </row>
    <row r="195" spans="1:9" ht="13.5" hidden="1" thickTop="1">
      <c r="A195" s="18"/>
      <c r="B195" s="12"/>
      <c r="C195" s="12" t="s">
        <v>33</v>
      </c>
      <c r="D195" s="18"/>
      <c r="E195" s="18"/>
      <c r="F195" s="18"/>
      <c r="G195" s="18"/>
      <c r="H195" s="18"/>
      <c r="I195" s="18"/>
    </row>
    <row r="196" spans="1:9" ht="13.5" hidden="1" thickTop="1">
      <c r="A196" s="18"/>
      <c r="B196" s="12"/>
      <c r="C196" s="12" t="s">
        <v>19</v>
      </c>
      <c r="D196" s="18"/>
      <c r="E196" s="18"/>
      <c r="F196" s="18"/>
      <c r="G196" s="18"/>
      <c r="H196" s="18"/>
      <c r="I196" s="18"/>
    </row>
    <row r="197" spans="1:9" ht="13.5" hidden="1" thickTop="1">
      <c r="A197" s="18"/>
      <c r="B197" s="12"/>
      <c r="C197" s="12" t="s">
        <v>2</v>
      </c>
      <c r="D197" s="18"/>
      <c r="E197" s="18"/>
      <c r="F197" s="18"/>
      <c r="G197" s="18"/>
      <c r="H197" s="18"/>
      <c r="I197" s="18"/>
    </row>
    <row r="198" spans="1:9" ht="13.5" hidden="1" thickTop="1">
      <c r="A198" s="18"/>
      <c r="B198" s="13"/>
      <c r="C198" s="13" t="s">
        <v>11</v>
      </c>
      <c r="D198" s="18"/>
      <c r="E198" s="18"/>
      <c r="F198" s="18"/>
      <c r="G198" s="18"/>
      <c r="H198" s="18"/>
      <c r="I198" s="18"/>
    </row>
    <row r="199" spans="1:9" ht="13.5" thickTop="1">
      <c r="A199" s="18"/>
      <c r="B199" s="12"/>
      <c r="C199" s="12" t="s">
        <v>2</v>
      </c>
      <c r="D199" s="18"/>
      <c r="E199" s="18"/>
      <c r="F199" s="18"/>
      <c r="G199" s="18"/>
      <c r="H199" s="18"/>
      <c r="I199" s="18"/>
    </row>
    <row r="200" ht="12.75">
      <c r="A200" s="22"/>
    </row>
    <row r="201" spans="1:9" ht="30.75" customHeight="1">
      <c r="A201" s="444" t="s">
        <v>34</v>
      </c>
      <c r="B201" s="444"/>
      <c r="C201" s="444"/>
      <c r="D201" s="444"/>
      <c r="E201" s="444"/>
      <c r="F201" s="444"/>
      <c r="G201" s="444"/>
      <c r="H201" s="444"/>
      <c r="I201" s="444"/>
    </row>
    <row r="202" spans="1:9" ht="15">
      <c r="A202" s="446"/>
      <c r="B202" s="446"/>
      <c r="C202" s="446"/>
      <c r="D202" s="446"/>
      <c r="E202" s="446"/>
      <c r="F202" s="446"/>
      <c r="G202" s="446"/>
      <c r="H202" s="446"/>
      <c r="I202" s="446"/>
    </row>
    <row r="203" spans="1:9" ht="15">
      <c r="A203" s="442" t="s">
        <v>213</v>
      </c>
      <c r="B203" s="442"/>
      <c r="C203" s="442"/>
      <c r="D203" s="442"/>
      <c r="E203" s="442"/>
      <c r="F203" s="442"/>
      <c r="G203" s="442"/>
      <c r="H203" s="442"/>
      <c r="I203" s="442"/>
    </row>
    <row r="204" spans="1:9" ht="12.75">
      <c r="A204" s="2" t="s">
        <v>35</v>
      </c>
      <c r="I204" s="2" t="s">
        <v>4</v>
      </c>
    </row>
    <row r="205" spans="1:9" s="19" customFormat="1" ht="12.75">
      <c r="A205" s="443" t="s">
        <v>3</v>
      </c>
      <c r="B205" s="443"/>
      <c r="C205" s="23"/>
      <c r="D205" s="18"/>
      <c r="E205" s="18"/>
      <c r="F205" s="18"/>
      <c r="G205" s="18"/>
      <c r="H205" s="443"/>
      <c r="I205" s="443"/>
    </row>
    <row r="206" ht="12.75">
      <c r="A206" s="4"/>
    </row>
    <row r="207" ht="12.75">
      <c r="A207" s="4"/>
    </row>
    <row r="208" spans="1:9" ht="18.75" customHeight="1">
      <c r="A208" s="393" t="s">
        <v>159</v>
      </c>
      <c r="B208" s="393"/>
      <c r="C208" s="393"/>
      <c r="E208" s="392" t="s">
        <v>8</v>
      </c>
      <c r="F208" s="392"/>
      <c r="H208" s="392" t="s">
        <v>108</v>
      </c>
      <c r="I208" s="392"/>
    </row>
    <row r="209" spans="1:9" ht="15">
      <c r="A209" s="5"/>
      <c r="B209" s="5"/>
      <c r="E209" s="431" t="s">
        <v>5</v>
      </c>
      <c r="F209" s="431"/>
      <c r="H209" s="431" t="s">
        <v>6</v>
      </c>
      <c r="I209" s="431"/>
    </row>
    <row r="210" spans="1:8" ht="12.75" customHeight="1">
      <c r="A210" s="10"/>
      <c r="B210" s="10"/>
      <c r="E210" s="9"/>
      <c r="H210" s="9"/>
    </row>
    <row r="211" spans="1:9" ht="18.75" customHeight="1">
      <c r="A211" s="393" t="s">
        <v>107</v>
      </c>
      <c r="B211" s="393"/>
      <c r="C211" s="393"/>
      <c r="E211" s="392" t="s">
        <v>8</v>
      </c>
      <c r="F211" s="392"/>
      <c r="H211" s="392" t="s">
        <v>109</v>
      </c>
      <c r="I211" s="392"/>
    </row>
    <row r="212" spans="1:9" ht="15">
      <c r="A212" s="5"/>
      <c r="E212" s="431" t="s">
        <v>5</v>
      </c>
      <c r="F212" s="431"/>
      <c r="H212" s="431" t="s">
        <v>6</v>
      </c>
      <c r="I212" s="431"/>
    </row>
    <row r="213" ht="12.75">
      <c r="A213" s="4"/>
    </row>
    <row r="214" ht="12.75">
      <c r="A214" s="4"/>
    </row>
  </sheetData>
  <sheetProtection/>
  <mergeCells count="175">
    <mergeCell ref="H131:I131"/>
    <mergeCell ref="H123:I123"/>
    <mergeCell ref="H124:I124"/>
    <mergeCell ref="H125:I125"/>
    <mergeCell ref="H126:I126"/>
    <mergeCell ref="H127:I127"/>
    <mergeCell ref="H128:I128"/>
    <mergeCell ref="H108:I108"/>
    <mergeCell ref="H109:I109"/>
    <mergeCell ref="H110:I110"/>
    <mergeCell ref="H111:I122"/>
    <mergeCell ref="H129:I129"/>
    <mergeCell ref="H130:I130"/>
    <mergeCell ref="H102:I102"/>
    <mergeCell ref="H103:I103"/>
    <mergeCell ref="H104:I104"/>
    <mergeCell ref="H105:I105"/>
    <mergeCell ref="H106:I106"/>
    <mergeCell ref="H107:I107"/>
    <mergeCell ref="H96:I96"/>
    <mergeCell ref="H97:I97"/>
    <mergeCell ref="H98:I98"/>
    <mergeCell ref="H99:I99"/>
    <mergeCell ref="H100:I100"/>
    <mergeCell ref="H101:I101"/>
    <mergeCell ref="H90:I90"/>
    <mergeCell ref="H91:I91"/>
    <mergeCell ref="H92:I92"/>
    <mergeCell ref="H93:I93"/>
    <mergeCell ref="H94:I94"/>
    <mergeCell ref="H95:I95"/>
    <mergeCell ref="H84:I84"/>
    <mergeCell ref="H85:I85"/>
    <mergeCell ref="H86:I86"/>
    <mergeCell ref="H87:I87"/>
    <mergeCell ref="H88:I88"/>
    <mergeCell ref="H89:I89"/>
    <mergeCell ref="H78:I78"/>
    <mergeCell ref="H79:I79"/>
    <mergeCell ref="H80:I80"/>
    <mergeCell ref="H81:I81"/>
    <mergeCell ref="H82:I82"/>
    <mergeCell ref="H83:I83"/>
    <mergeCell ref="H62:I62"/>
    <mergeCell ref="H55:I59"/>
    <mergeCell ref="H63:I74"/>
    <mergeCell ref="H75:I75"/>
    <mergeCell ref="H76:I76"/>
    <mergeCell ref="H77:I77"/>
    <mergeCell ref="H51:I51"/>
    <mergeCell ref="H52:I52"/>
    <mergeCell ref="H53:I53"/>
    <mergeCell ref="H54:I54"/>
    <mergeCell ref="H60:I60"/>
    <mergeCell ref="H61:I61"/>
    <mergeCell ref="H45:I45"/>
    <mergeCell ref="H46:I46"/>
    <mergeCell ref="H47:I47"/>
    <mergeCell ref="H48:I48"/>
    <mergeCell ref="H49:I49"/>
    <mergeCell ref="H50:I50"/>
    <mergeCell ref="H39:I39"/>
    <mergeCell ref="H40:I40"/>
    <mergeCell ref="H41:I41"/>
    <mergeCell ref="H42:I42"/>
    <mergeCell ref="H43:I43"/>
    <mergeCell ref="H44:I44"/>
    <mergeCell ref="H33:I33"/>
    <mergeCell ref="H34:I34"/>
    <mergeCell ref="H35:I35"/>
    <mergeCell ref="H36:I36"/>
    <mergeCell ref="H37:I37"/>
    <mergeCell ref="H38:I38"/>
    <mergeCell ref="H27:I27"/>
    <mergeCell ref="H28:I28"/>
    <mergeCell ref="H29:I29"/>
    <mergeCell ref="H30:I30"/>
    <mergeCell ref="H31:I31"/>
    <mergeCell ref="H32:I32"/>
    <mergeCell ref="H21:I21"/>
    <mergeCell ref="H22:I22"/>
    <mergeCell ref="H23:I23"/>
    <mergeCell ref="H24:I24"/>
    <mergeCell ref="H25:I25"/>
    <mergeCell ref="H26:I26"/>
    <mergeCell ref="A1:I1"/>
    <mergeCell ref="A3:I3"/>
    <mergeCell ref="A4:I4"/>
    <mergeCell ref="B5:J5"/>
    <mergeCell ref="B6:J6"/>
    <mergeCell ref="B12:I12"/>
    <mergeCell ref="A14:B15"/>
    <mergeCell ref="C14:C15"/>
    <mergeCell ref="D14:D15"/>
    <mergeCell ref="E14:E15"/>
    <mergeCell ref="F14:G14"/>
    <mergeCell ref="H14:I15"/>
    <mergeCell ref="A16:B16"/>
    <mergeCell ref="H16:I16"/>
    <mergeCell ref="H17:I17"/>
    <mergeCell ref="H18:I18"/>
    <mergeCell ref="H19:I19"/>
    <mergeCell ref="H20:I20"/>
    <mergeCell ref="C157:I157"/>
    <mergeCell ref="A133:I133"/>
    <mergeCell ref="E134:G134"/>
    <mergeCell ref="E135:G135"/>
    <mergeCell ref="E136:G136"/>
    <mergeCell ref="C138:I138"/>
    <mergeCell ref="C147:I147"/>
    <mergeCell ref="E139:G139"/>
    <mergeCell ref="E146:G146"/>
    <mergeCell ref="E145:G145"/>
    <mergeCell ref="E158:G158"/>
    <mergeCell ref="E159:G159"/>
    <mergeCell ref="E160:G160"/>
    <mergeCell ref="E161:G161"/>
    <mergeCell ref="E162:G162"/>
    <mergeCell ref="E163:G163"/>
    <mergeCell ref="E164:G164"/>
    <mergeCell ref="E165:G165"/>
    <mergeCell ref="A167:I167"/>
    <mergeCell ref="A168:I168"/>
    <mergeCell ref="A169:I169"/>
    <mergeCell ref="A170:I170"/>
    <mergeCell ref="A172:B172"/>
    <mergeCell ref="H172:I172"/>
    <mergeCell ref="A174:I174"/>
    <mergeCell ref="A176:B177"/>
    <mergeCell ref="C176:C177"/>
    <mergeCell ref="D176:E176"/>
    <mergeCell ref="F176:G176"/>
    <mergeCell ref="H176:I177"/>
    <mergeCell ref="A178:B178"/>
    <mergeCell ref="H178:I178"/>
    <mergeCell ref="A179:B179"/>
    <mergeCell ref="H179:I179"/>
    <mergeCell ref="A180:B180"/>
    <mergeCell ref="H180:I180"/>
    <mergeCell ref="A181:B181"/>
    <mergeCell ref="H181:I181"/>
    <mergeCell ref="A182:B182"/>
    <mergeCell ref="H182:I182"/>
    <mergeCell ref="A183:B183"/>
    <mergeCell ref="H183:I183"/>
    <mergeCell ref="A185:I185"/>
    <mergeCell ref="A201:I201"/>
    <mergeCell ref="A202:I202"/>
    <mergeCell ref="A203:I203"/>
    <mergeCell ref="A205:B205"/>
    <mergeCell ref="H205:I205"/>
    <mergeCell ref="E212:F212"/>
    <mergeCell ref="H212:I212"/>
    <mergeCell ref="A208:C208"/>
    <mergeCell ref="E208:F208"/>
    <mergeCell ref="H208:I208"/>
    <mergeCell ref="E209:F209"/>
    <mergeCell ref="H209:I209"/>
    <mergeCell ref="A211:C211"/>
    <mergeCell ref="E211:F211"/>
    <mergeCell ref="H211:I211"/>
    <mergeCell ref="E144:G144"/>
    <mergeCell ref="E143:G143"/>
    <mergeCell ref="E142:G142"/>
    <mergeCell ref="E141:G141"/>
    <mergeCell ref="E140:G140"/>
    <mergeCell ref="E154:G154"/>
    <mergeCell ref="E155:G155"/>
    <mergeCell ref="C156:I156"/>
    <mergeCell ref="E148:G148"/>
    <mergeCell ref="E149:G149"/>
    <mergeCell ref="E150:G150"/>
    <mergeCell ref="E151:G151"/>
    <mergeCell ref="E152:G152"/>
    <mergeCell ref="E153:G153"/>
  </mergeCells>
  <printOptions horizontalCentered="1"/>
  <pageMargins left="0.2362204724409449" right="0.15748031496062992" top="0.1968503937007874" bottom="0.15748031496062992" header="0.1968503937007874" footer="0.11811023622047245"/>
  <pageSetup fitToHeight="0"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tabColor indexed="15"/>
  </sheetPr>
  <dimension ref="A1:O1706"/>
  <sheetViews>
    <sheetView tabSelected="1" view="pageBreakPreview" zoomScale="90" zoomScaleSheetLayoutView="90" zoomScalePageLayoutView="0" workbookViewId="0" topLeftCell="B1">
      <selection activeCell="B9" sqref="B9:I9"/>
    </sheetView>
  </sheetViews>
  <sheetFormatPr defaultColWidth="9.00390625" defaultRowHeight="12.75"/>
  <cols>
    <col min="1" max="1" width="6.375" style="0" hidden="1" customWidth="1"/>
    <col min="2" max="2" width="7.625" style="0" customWidth="1"/>
    <col min="3" max="3" width="88.375" style="0" customWidth="1"/>
    <col min="4" max="4" width="9.125" style="388" customWidth="1"/>
    <col min="5" max="5" width="10.125" style="388" customWidth="1"/>
    <col min="6" max="6" width="8.50390625" style="0" customWidth="1"/>
    <col min="7" max="7" width="11.375" style="0" customWidth="1"/>
    <col min="8" max="8" width="32.50390625" style="0" customWidth="1"/>
    <col min="9" max="9" width="27.50390625" style="0" customWidth="1"/>
    <col min="10" max="10" width="10.50390625" style="74" customWidth="1"/>
  </cols>
  <sheetData>
    <row r="1" spans="1:10" s="60" customFormat="1" ht="21" thickBot="1">
      <c r="A1" s="432" t="s">
        <v>218</v>
      </c>
      <c r="B1" s="432"/>
      <c r="C1" s="432"/>
      <c r="D1" s="432"/>
      <c r="E1" s="432"/>
      <c r="F1" s="432"/>
      <c r="G1" s="432"/>
      <c r="H1" s="432"/>
      <c r="I1" s="432"/>
      <c r="J1" s="349"/>
    </row>
    <row r="2" spans="1:10" s="60" customFormat="1" ht="9.75" customHeight="1" thickTop="1">
      <c r="A2" s="70"/>
      <c r="D2" s="365"/>
      <c r="E2" s="365"/>
      <c r="J2" s="349"/>
    </row>
    <row r="3" spans="1:10" s="60" customFormat="1" ht="15">
      <c r="A3" s="433" t="s">
        <v>160</v>
      </c>
      <c r="B3" s="433"/>
      <c r="C3" s="433"/>
      <c r="D3" s="433"/>
      <c r="E3" s="433"/>
      <c r="F3" s="433"/>
      <c r="G3" s="433"/>
      <c r="H3" s="433"/>
      <c r="I3" s="433"/>
      <c r="J3" s="349"/>
    </row>
    <row r="4" spans="1:10" s="60" customFormat="1" ht="12" customHeight="1">
      <c r="A4" s="434" t="s">
        <v>206</v>
      </c>
      <c r="B4" s="434"/>
      <c r="C4" s="434"/>
      <c r="D4" s="434"/>
      <c r="E4" s="434"/>
      <c r="F4" s="434"/>
      <c r="G4" s="434"/>
      <c r="H4" s="434"/>
      <c r="I4" s="434"/>
      <c r="J4" s="349"/>
    </row>
    <row r="5" spans="1:10" s="60" customFormat="1" ht="12" customHeight="1">
      <c r="A5" s="108"/>
      <c r="B5" s="433" t="s">
        <v>205</v>
      </c>
      <c r="C5" s="433"/>
      <c r="D5" s="433"/>
      <c r="E5" s="433"/>
      <c r="F5" s="433"/>
      <c r="G5" s="433"/>
      <c r="H5" s="433"/>
      <c r="I5" s="433"/>
      <c r="J5" s="433"/>
    </row>
    <row r="6" spans="1:10" s="60" customFormat="1" ht="12" customHeight="1">
      <c r="A6" s="108"/>
      <c r="B6" s="434" t="s">
        <v>207</v>
      </c>
      <c r="C6" s="434"/>
      <c r="D6" s="434"/>
      <c r="E6" s="434"/>
      <c r="F6" s="434"/>
      <c r="G6" s="434"/>
      <c r="H6" s="434"/>
      <c r="I6" s="434"/>
      <c r="J6" s="434"/>
    </row>
    <row r="7" spans="1:10" s="60" customFormat="1" ht="12" customHeight="1">
      <c r="A7" s="108"/>
      <c r="B7" s="119"/>
      <c r="C7" s="116"/>
      <c r="D7" s="366"/>
      <c r="E7" s="366"/>
      <c r="F7" s="116"/>
      <c r="G7" s="116"/>
      <c r="H7" s="116"/>
      <c r="I7" s="116"/>
      <c r="J7" s="349"/>
    </row>
    <row r="8" spans="1:10" s="60" customFormat="1" ht="12" customHeight="1">
      <c r="A8" s="108"/>
      <c r="B8" s="115" t="s">
        <v>203</v>
      </c>
      <c r="C8" s="115"/>
      <c r="D8" s="367"/>
      <c r="E8" s="367"/>
      <c r="F8" s="115"/>
      <c r="G8" s="115"/>
      <c r="H8" s="115"/>
      <c r="I8" s="115"/>
      <c r="J8" s="349"/>
    </row>
    <row r="9" spans="1:10" s="60" customFormat="1" ht="12" customHeight="1">
      <c r="A9" s="108"/>
      <c r="B9" s="400" t="s">
        <v>204</v>
      </c>
      <c r="C9" s="400"/>
      <c r="D9" s="400"/>
      <c r="E9" s="400"/>
      <c r="F9" s="400"/>
      <c r="G9" s="400"/>
      <c r="H9" s="400"/>
      <c r="I9" s="400"/>
      <c r="J9" s="349"/>
    </row>
    <row r="10" spans="4:10" s="60" customFormat="1" ht="12.75">
      <c r="D10" s="365"/>
      <c r="E10" s="365"/>
      <c r="I10" s="71" t="s">
        <v>4</v>
      </c>
      <c r="J10" s="349"/>
    </row>
    <row r="11" spans="1:10" s="60" customFormat="1" ht="12.75" customHeight="1">
      <c r="A11" s="417" t="s">
        <v>9</v>
      </c>
      <c r="B11" s="417"/>
      <c r="C11" s="417" t="s">
        <v>1</v>
      </c>
      <c r="D11" s="418" t="s">
        <v>175</v>
      </c>
      <c r="E11" s="418" t="s">
        <v>176</v>
      </c>
      <c r="F11" s="417" t="s">
        <v>177</v>
      </c>
      <c r="G11" s="417"/>
      <c r="H11" s="417" t="s">
        <v>208</v>
      </c>
      <c r="I11" s="417"/>
      <c r="J11" s="349"/>
    </row>
    <row r="12" spans="1:10" s="60" customFormat="1" ht="27" customHeight="1">
      <c r="A12" s="417"/>
      <c r="B12" s="417"/>
      <c r="C12" s="417"/>
      <c r="D12" s="418"/>
      <c r="E12" s="418"/>
      <c r="F12" s="109" t="s">
        <v>24</v>
      </c>
      <c r="G12" s="109" t="s">
        <v>36</v>
      </c>
      <c r="H12" s="417"/>
      <c r="I12" s="417"/>
      <c r="J12" s="349"/>
    </row>
    <row r="13" spans="1:10" s="60" customFormat="1" ht="13.5" thickBot="1">
      <c r="A13" s="415">
        <v>1</v>
      </c>
      <c r="B13" s="415"/>
      <c r="C13" s="110">
        <v>2</v>
      </c>
      <c r="D13" s="368">
        <v>3</v>
      </c>
      <c r="E13" s="368">
        <v>4</v>
      </c>
      <c r="F13" s="110">
        <v>5</v>
      </c>
      <c r="G13" s="110">
        <v>6</v>
      </c>
      <c r="H13" s="416">
        <v>7</v>
      </c>
      <c r="I13" s="416"/>
      <c r="J13" s="349"/>
    </row>
    <row r="14" spans="2:10" s="37" customFormat="1" ht="13.5" thickTop="1">
      <c r="B14" s="36">
        <v>1111120</v>
      </c>
      <c r="C14" s="36" t="s">
        <v>104</v>
      </c>
      <c r="D14" s="369">
        <f>D15+D50</f>
        <v>33822.945</v>
      </c>
      <c r="E14" s="369">
        <f>E15+E50</f>
        <v>46438.799999999996</v>
      </c>
      <c r="F14" s="44">
        <f>F15+F50</f>
        <v>40908.9</v>
      </c>
      <c r="G14" s="44">
        <f>G15+G50</f>
        <v>11807.2</v>
      </c>
      <c r="H14" s="402"/>
      <c r="I14" s="402"/>
      <c r="J14" s="350"/>
    </row>
    <row r="15" spans="1:9" ht="12.75" customHeight="1">
      <c r="A15" s="6"/>
      <c r="B15" s="27">
        <v>2000</v>
      </c>
      <c r="C15" s="28" t="s">
        <v>37</v>
      </c>
      <c r="D15" s="370">
        <f>D16+D21+D38+D41+D45+D49</f>
        <v>29865.86</v>
      </c>
      <c r="E15" s="370">
        <f>E16+E21+E38+E41+E45+E49</f>
        <v>38826.799999999996</v>
      </c>
      <c r="F15" s="33">
        <f>F16+F21+F38+F41+F45+F49</f>
        <v>40908.9</v>
      </c>
      <c r="G15" s="33">
        <f>G16+G21+G38+G41+G45+G49</f>
        <v>4807.2</v>
      </c>
      <c r="H15" s="402"/>
      <c r="I15" s="402"/>
    </row>
    <row r="16" spans="1:9" ht="12.75" customHeight="1">
      <c r="A16" s="6"/>
      <c r="B16" s="29">
        <v>2100</v>
      </c>
      <c r="C16" s="30" t="s">
        <v>38</v>
      </c>
      <c r="D16" s="371">
        <f>D17+D20</f>
        <v>12651.170000000002</v>
      </c>
      <c r="E16" s="371">
        <f>E17+E20</f>
        <v>18958.2</v>
      </c>
      <c r="F16" s="35">
        <f>F17+F20</f>
        <v>19519.9</v>
      </c>
      <c r="G16" s="35">
        <f>G17+G20</f>
        <v>0</v>
      </c>
      <c r="H16" s="402"/>
      <c r="I16" s="402"/>
    </row>
    <row r="17" spans="1:9" ht="12.75" customHeight="1">
      <c r="A17" s="6"/>
      <c r="B17" s="29">
        <v>2110</v>
      </c>
      <c r="C17" s="30" t="s">
        <v>39</v>
      </c>
      <c r="D17" s="371">
        <f>D18+D19</f>
        <v>10418.460000000001</v>
      </c>
      <c r="E17" s="371">
        <f>E18+E19</f>
        <v>15546.1</v>
      </c>
      <c r="F17" s="35">
        <f>F18+F19</f>
        <v>15999.9</v>
      </c>
      <c r="G17" s="35">
        <f>G18+G19</f>
        <v>0</v>
      </c>
      <c r="H17" s="402"/>
      <c r="I17" s="402"/>
    </row>
    <row r="18" spans="1:9" ht="12.75" customHeight="1">
      <c r="A18" s="6"/>
      <c r="B18" s="29">
        <v>2111</v>
      </c>
      <c r="C18" s="30" t="s">
        <v>42</v>
      </c>
      <c r="D18" s="372">
        <v>10418.460000000001</v>
      </c>
      <c r="E18" s="372">
        <v>15546.1</v>
      </c>
      <c r="F18" s="34">
        <v>15999.9</v>
      </c>
      <c r="G18" s="34"/>
      <c r="H18" s="402"/>
      <c r="I18" s="402"/>
    </row>
    <row r="19" spans="1:9" ht="12.75" customHeight="1" hidden="1">
      <c r="A19" s="6"/>
      <c r="B19" s="29">
        <v>2112</v>
      </c>
      <c r="C19" s="30" t="s">
        <v>43</v>
      </c>
      <c r="D19" s="372">
        <v>0</v>
      </c>
      <c r="E19" s="372">
        <v>0</v>
      </c>
      <c r="F19" s="34"/>
      <c r="G19" s="34"/>
      <c r="H19" s="402"/>
      <c r="I19" s="402"/>
    </row>
    <row r="20" spans="1:9" ht="12.75" customHeight="1">
      <c r="A20" s="6"/>
      <c r="B20" s="29">
        <v>2120</v>
      </c>
      <c r="C20" s="30" t="s">
        <v>44</v>
      </c>
      <c r="D20" s="372">
        <v>2232.71</v>
      </c>
      <c r="E20" s="372">
        <v>3412.1000000000004</v>
      </c>
      <c r="F20" s="34">
        <v>3520</v>
      </c>
      <c r="G20" s="34"/>
      <c r="H20" s="402"/>
      <c r="I20" s="402"/>
    </row>
    <row r="21" spans="1:9" ht="12.75" customHeight="1">
      <c r="A21" s="6"/>
      <c r="B21" s="27">
        <v>2200</v>
      </c>
      <c r="C21" s="28" t="s">
        <v>45</v>
      </c>
      <c r="D21" s="370">
        <f>SUM(D22:D28)+D35</f>
        <v>16502.53</v>
      </c>
      <c r="E21" s="370">
        <f>SUM(E22:E28)+E35</f>
        <v>18872.399999999998</v>
      </c>
      <c r="F21" s="33">
        <f>SUM(F22:F28)+F35</f>
        <v>20390.5</v>
      </c>
      <c r="G21" s="33">
        <f>SUM(G22:G28)+G35</f>
        <v>4807.2</v>
      </c>
      <c r="H21" s="402"/>
      <c r="I21" s="402"/>
    </row>
    <row r="22" spans="1:11" ht="25.5" customHeight="1">
      <c r="A22" s="6"/>
      <c r="B22" s="29">
        <v>2210</v>
      </c>
      <c r="C22" s="30" t="s">
        <v>46</v>
      </c>
      <c r="D22" s="372">
        <v>4463.85</v>
      </c>
      <c r="E22" s="372">
        <v>2863.5</v>
      </c>
      <c r="F22" s="560">
        <f>1400+304.9+178.2</f>
        <v>1883.1000000000001</v>
      </c>
      <c r="G22" s="560">
        <v>729</v>
      </c>
      <c r="H22" s="402" t="s">
        <v>590</v>
      </c>
      <c r="I22" s="402"/>
      <c r="K22" s="52"/>
    </row>
    <row r="23" spans="1:11" ht="12.75" customHeight="1">
      <c r="A23" s="6"/>
      <c r="B23" s="29">
        <v>2220</v>
      </c>
      <c r="C23" s="30" t="s">
        <v>47</v>
      </c>
      <c r="D23" s="372">
        <v>317.86</v>
      </c>
      <c r="E23" s="372">
        <v>400</v>
      </c>
      <c r="F23" s="560">
        <v>500</v>
      </c>
      <c r="G23" s="560">
        <v>400</v>
      </c>
      <c r="H23" s="402" t="s">
        <v>605</v>
      </c>
      <c r="I23" s="402"/>
      <c r="J23" s="351">
        <v>200</v>
      </c>
      <c r="K23" s="52"/>
    </row>
    <row r="24" spans="1:11" ht="12.75" customHeight="1">
      <c r="A24" s="6"/>
      <c r="B24" s="29">
        <v>2230</v>
      </c>
      <c r="C24" s="30" t="s">
        <v>48</v>
      </c>
      <c r="D24" s="372">
        <v>4521.42</v>
      </c>
      <c r="E24" s="372">
        <v>6848.7</v>
      </c>
      <c r="F24" s="560">
        <v>8337.8</v>
      </c>
      <c r="G24" s="560"/>
      <c r="H24" s="402"/>
      <c r="I24" s="402"/>
      <c r="J24" s="74">
        <v>644.5</v>
      </c>
      <c r="K24" s="52">
        <f>E24*1.074</f>
        <v>7355.5038</v>
      </c>
    </row>
    <row r="25" spans="1:11" ht="36.75" customHeight="1">
      <c r="A25" s="6"/>
      <c r="B25" s="29">
        <v>2240</v>
      </c>
      <c r="C25" s="30" t="s">
        <v>49</v>
      </c>
      <c r="D25" s="372">
        <v>2979.48</v>
      </c>
      <c r="E25" s="372">
        <v>3611.9</v>
      </c>
      <c r="F25" s="560">
        <f>3842.9+21.8</f>
        <v>3864.7000000000003</v>
      </c>
      <c r="G25" s="560">
        <f>3000-321.8</f>
        <v>2678.2</v>
      </c>
      <c r="H25" s="402" t="s">
        <v>617</v>
      </c>
      <c r="I25" s="402"/>
      <c r="J25" s="74">
        <v>1000</v>
      </c>
      <c r="K25" s="52"/>
    </row>
    <row r="26" spans="1:12" ht="12.75" customHeight="1">
      <c r="A26" s="6"/>
      <c r="B26" s="29">
        <v>2250</v>
      </c>
      <c r="C26" s="30" t="s">
        <v>50</v>
      </c>
      <c r="D26" s="372">
        <v>2848.37</v>
      </c>
      <c r="E26" s="372">
        <v>3220.2</v>
      </c>
      <c r="F26" s="560">
        <v>3700</v>
      </c>
      <c r="G26" s="560">
        <f>1000</f>
        <v>1000</v>
      </c>
      <c r="H26" s="402" t="s">
        <v>589</v>
      </c>
      <c r="I26" s="402"/>
      <c r="J26" s="351">
        <v>746.1</v>
      </c>
      <c r="K26" s="52"/>
      <c r="L26" s="52"/>
    </row>
    <row r="27" spans="1:9" ht="12.75" customHeight="1" hidden="1">
      <c r="A27" s="6"/>
      <c r="B27" s="29">
        <v>2260</v>
      </c>
      <c r="C27" s="30" t="s">
        <v>51</v>
      </c>
      <c r="D27" s="372"/>
      <c r="E27" s="372"/>
      <c r="F27" s="34"/>
      <c r="G27" s="34"/>
      <c r="H27" s="402"/>
      <c r="I27" s="402"/>
    </row>
    <row r="28" spans="1:9" ht="12.75" customHeight="1">
      <c r="A28" s="6"/>
      <c r="B28" s="27">
        <v>2270</v>
      </c>
      <c r="C28" s="28" t="s">
        <v>52</v>
      </c>
      <c r="D28" s="370">
        <f>D29+D30+D31+D32+D33+D34</f>
        <v>1361.55</v>
      </c>
      <c r="E28" s="370">
        <f>E29+E30+E31+E32+E33+E34</f>
        <v>1885.3</v>
      </c>
      <c r="F28" s="33">
        <f>F29+F30+F31+F32+F33+F34</f>
        <v>2074.8999999999996</v>
      </c>
      <c r="G28" s="33">
        <f>G29+G30+G31+G32+G33+G34</f>
        <v>0</v>
      </c>
      <c r="H28" s="402"/>
      <c r="I28" s="402"/>
    </row>
    <row r="29" spans="1:9" ht="12.75" customHeight="1">
      <c r="A29" s="6"/>
      <c r="B29" s="29">
        <v>2271</v>
      </c>
      <c r="C29" s="30" t="s">
        <v>53</v>
      </c>
      <c r="D29" s="372">
        <v>708.16</v>
      </c>
      <c r="E29" s="372">
        <v>1008</v>
      </c>
      <c r="F29" s="34">
        <v>1258.5</v>
      </c>
      <c r="G29" s="34"/>
      <c r="H29" s="402"/>
      <c r="I29" s="402"/>
    </row>
    <row r="30" spans="1:13" ht="12.75" customHeight="1">
      <c r="A30" s="6"/>
      <c r="B30" s="29">
        <v>2272</v>
      </c>
      <c r="C30" s="30" t="s">
        <v>54</v>
      </c>
      <c r="D30" s="372">
        <v>82.02</v>
      </c>
      <c r="E30" s="372">
        <v>109.4</v>
      </c>
      <c r="F30" s="34">
        <v>135.6</v>
      </c>
      <c r="G30" s="34"/>
      <c r="H30" s="402"/>
      <c r="I30" s="402"/>
      <c r="M30" s="52"/>
    </row>
    <row r="31" spans="1:9" ht="12.75" customHeight="1">
      <c r="A31" s="6"/>
      <c r="B31" s="29">
        <v>2273</v>
      </c>
      <c r="C31" s="30" t="s">
        <v>55</v>
      </c>
      <c r="D31" s="372">
        <v>535.37</v>
      </c>
      <c r="E31" s="372">
        <v>728.3</v>
      </c>
      <c r="F31" s="34">
        <v>680.8</v>
      </c>
      <c r="G31" s="34"/>
      <c r="H31" s="402"/>
      <c r="I31" s="402"/>
    </row>
    <row r="32" spans="1:9" ht="12.75" customHeight="1" hidden="1">
      <c r="A32" s="6"/>
      <c r="B32" s="29">
        <v>2274</v>
      </c>
      <c r="C32" s="30" t="s">
        <v>56</v>
      </c>
      <c r="D32" s="372">
        <v>0</v>
      </c>
      <c r="E32" s="372">
        <v>0</v>
      </c>
      <c r="F32" s="34">
        <v>0</v>
      </c>
      <c r="G32" s="34"/>
      <c r="H32" s="402"/>
      <c r="I32" s="402"/>
    </row>
    <row r="33" spans="1:9" ht="12.75" customHeight="1">
      <c r="A33" s="6"/>
      <c r="B33" s="29">
        <v>2275</v>
      </c>
      <c r="C33" s="30" t="s">
        <v>57</v>
      </c>
      <c r="D33" s="372">
        <v>36</v>
      </c>
      <c r="E33" s="372">
        <v>39.6</v>
      </c>
      <c r="F33" s="34">
        <v>0</v>
      </c>
      <c r="G33" s="34"/>
      <c r="H33" s="402"/>
      <c r="I33" s="402"/>
    </row>
    <row r="34" spans="1:9" ht="12.75" customHeight="1" hidden="1">
      <c r="A34" s="6"/>
      <c r="B34" s="31">
        <v>2276</v>
      </c>
      <c r="C34" s="32" t="s">
        <v>58</v>
      </c>
      <c r="D34" s="372"/>
      <c r="E34" s="372"/>
      <c r="F34" s="34"/>
      <c r="G34" s="34"/>
      <c r="H34" s="402"/>
      <c r="I34" s="402"/>
    </row>
    <row r="35" spans="1:9" ht="12.75">
      <c r="A35" s="6"/>
      <c r="B35" s="27">
        <v>2280</v>
      </c>
      <c r="C35" s="28" t="s">
        <v>59</v>
      </c>
      <c r="D35" s="370">
        <f>D36+D37</f>
        <v>10</v>
      </c>
      <c r="E35" s="370">
        <f>E36+E37</f>
        <v>42.8</v>
      </c>
      <c r="F35" s="33">
        <f>F36+F37</f>
        <v>30</v>
      </c>
      <c r="G35" s="33">
        <f>G36+G37</f>
        <v>0</v>
      </c>
      <c r="H35" s="402"/>
      <c r="I35" s="402"/>
    </row>
    <row r="36" spans="1:9" ht="12.75" hidden="1">
      <c r="A36" s="6"/>
      <c r="B36" s="29">
        <v>2281</v>
      </c>
      <c r="C36" s="30" t="s">
        <v>60</v>
      </c>
      <c r="D36" s="372"/>
      <c r="E36" s="372"/>
      <c r="F36" s="34"/>
      <c r="G36" s="34"/>
      <c r="H36" s="402"/>
      <c r="I36" s="402"/>
    </row>
    <row r="37" spans="1:9" ht="12.75">
      <c r="A37" s="6"/>
      <c r="B37" s="29">
        <v>2282</v>
      </c>
      <c r="C37" s="30" t="s">
        <v>61</v>
      </c>
      <c r="D37" s="372">
        <v>10</v>
      </c>
      <c r="E37" s="372">
        <v>42.8</v>
      </c>
      <c r="F37" s="34">
        <v>30</v>
      </c>
      <c r="G37" s="34"/>
      <c r="H37" s="402"/>
      <c r="I37" s="402"/>
    </row>
    <row r="38" spans="1:9" ht="12.75" customHeight="1" hidden="1">
      <c r="A38" s="6"/>
      <c r="B38" s="27">
        <v>2400</v>
      </c>
      <c r="C38" s="28" t="s">
        <v>62</v>
      </c>
      <c r="D38" s="372">
        <f>D39+D40</f>
        <v>0</v>
      </c>
      <c r="E38" s="372">
        <f>E39+E40</f>
        <v>0</v>
      </c>
      <c r="F38" s="34">
        <f>F39+F40</f>
        <v>0</v>
      </c>
      <c r="G38" s="34">
        <f>G39+G40</f>
        <v>0</v>
      </c>
      <c r="H38" s="402"/>
      <c r="I38" s="402"/>
    </row>
    <row r="39" spans="1:9" ht="12.75" customHeight="1" hidden="1">
      <c r="A39" s="6"/>
      <c r="B39" s="29">
        <v>2410</v>
      </c>
      <c r="C39" s="30" t="s">
        <v>63</v>
      </c>
      <c r="D39" s="372"/>
      <c r="E39" s="372"/>
      <c r="F39" s="34"/>
      <c r="G39" s="34"/>
      <c r="H39" s="402"/>
      <c r="I39" s="402"/>
    </row>
    <row r="40" spans="1:9" ht="12.75" customHeight="1" hidden="1">
      <c r="A40" s="6"/>
      <c r="B40" s="29">
        <v>2420</v>
      </c>
      <c r="C40" s="30" t="s">
        <v>64</v>
      </c>
      <c r="D40" s="372"/>
      <c r="E40" s="372"/>
      <c r="F40" s="34"/>
      <c r="G40" s="34"/>
      <c r="H40" s="402"/>
      <c r="I40" s="402"/>
    </row>
    <row r="41" spans="1:9" ht="12.75" customHeight="1" hidden="1">
      <c r="A41" s="6"/>
      <c r="B41" s="27">
        <v>2600</v>
      </c>
      <c r="C41" s="28" t="s">
        <v>65</v>
      </c>
      <c r="D41" s="370">
        <f>D42+D43+D44</f>
        <v>0</v>
      </c>
      <c r="E41" s="370">
        <f>E42+E43+E44</f>
        <v>0</v>
      </c>
      <c r="F41" s="33">
        <f>F42+F43+F44</f>
        <v>0</v>
      </c>
      <c r="G41" s="33">
        <f>G42+G43+G44</f>
        <v>0</v>
      </c>
      <c r="H41" s="402"/>
      <c r="I41" s="402"/>
    </row>
    <row r="42" spans="1:9" ht="12.75" hidden="1">
      <c r="A42" s="6"/>
      <c r="B42" s="29">
        <v>2610</v>
      </c>
      <c r="C42" s="30" t="s">
        <v>66</v>
      </c>
      <c r="D42" s="372"/>
      <c r="E42" s="372"/>
      <c r="F42" s="34"/>
      <c r="G42" s="34"/>
      <c r="H42" s="402"/>
      <c r="I42" s="402"/>
    </row>
    <row r="43" spans="1:9" ht="12.75" customHeight="1" hidden="1">
      <c r="A43" s="6"/>
      <c r="B43" s="29">
        <v>2620</v>
      </c>
      <c r="C43" s="30" t="s">
        <v>67</v>
      </c>
      <c r="D43" s="372"/>
      <c r="E43" s="372"/>
      <c r="F43" s="34"/>
      <c r="G43" s="34"/>
      <c r="H43" s="402"/>
      <c r="I43" s="402"/>
    </row>
    <row r="44" spans="1:9" ht="12.75" hidden="1">
      <c r="A44" s="6"/>
      <c r="B44" s="29">
        <v>2630</v>
      </c>
      <c r="C44" s="30" t="s">
        <v>68</v>
      </c>
      <c r="D44" s="372"/>
      <c r="E44" s="372"/>
      <c r="F44" s="34"/>
      <c r="G44" s="34"/>
      <c r="H44" s="402"/>
      <c r="I44" s="402"/>
    </row>
    <row r="45" spans="1:9" ht="12.75" customHeight="1">
      <c r="A45" s="6"/>
      <c r="B45" s="27">
        <v>2700</v>
      </c>
      <c r="C45" s="28" t="s">
        <v>69</v>
      </c>
      <c r="D45" s="370">
        <f>D46+D47+D48</f>
        <v>712.16</v>
      </c>
      <c r="E45" s="370">
        <f>E46+E47+E48</f>
        <v>996.1999999999999</v>
      </c>
      <c r="F45" s="33">
        <f>F46+F47+F48</f>
        <v>998.5</v>
      </c>
      <c r="G45" s="33">
        <f>G46+G47+G48</f>
        <v>0</v>
      </c>
      <c r="H45" s="402"/>
      <c r="I45" s="402"/>
    </row>
    <row r="46" spans="1:9" ht="12.75" customHeight="1" hidden="1">
      <c r="A46" s="6"/>
      <c r="B46" s="29">
        <v>2710</v>
      </c>
      <c r="C46" s="30" t="s">
        <v>70</v>
      </c>
      <c r="D46" s="373"/>
      <c r="E46" s="373"/>
      <c r="F46" s="42"/>
      <c r="G46" s="42"/>
      <c r="H46" s="402"/>
      <c r="I46" s="402"/>
    </row>
    <row r="47" spans="1:9" ht="12.75" customHeight="1">
      <c r="A47" s="6"/>
      <c r="B47" s="29">
        <v>2720</v>
      </c>
      <c r="C47" s="30" t="s">
        <v>71</v>
      </c>
      <c r="D47" s="373">
        <v>695.12</v>
      </c>
      <c r="E47" s="373">
        <v>957.4</v>
      </c>
      <c r="F47" s="34">
        <v>959.5</v>
      </c>
      <c r="G47" s="42"/>
      <c r="H47" s="402"/>
      <c r="I47" s="402"/>
    </row>
    <row r="48" spans="1:9" ht="12.75" customHeight="1">
      <c r="A48" s="6"/>
      <c r="B48" s="29">
        <v>2730</v>
      </c>
      <c r="C48" s="30" t="s">
        <v>72</v>
      </c>
      <c r="D48" s="373">
        <v>17.04</v>
      </c>
      <c r="E48" s="373">
        <v>38.8</v>
      </c>
      <c r="F48" s="34">
        <v>39</v>
      </c>
      <c r="G48" s="42"/>
      <c r="H48" s="402"/>
      <c r="I48" s="402"/>
    </row>
    <row r="49" spans="1:9" ht="12.75" customHeight="1" hidden="1">
      <c r="A49" s="6"/>
      <c r="B49" s="27">
        <v>2800</v>
      </c>
      <c r="C49" s="28" t="s">
        <v>73</v>
      </c>
      <c r="D49" s="373"/>
      <c r="E49" s="373"/>
      <c r="F49" s="34"/>
      <c r="G49" s="42"/>
      <c r="H49" s="402"/>
      <c r="I49" s="402"/>
    </row>
    <row r="50" spans="1:9" ht="12.75">
      <c r="A50" s="21"/>
      <c r="B50" s="27">
        <v>3000</v>
      </c>
      <c r="C50" s="28" t="s">
        <v>40</v>
      </c>
      <c r="D50" s="374">
        <f>D51+D65</f>
        <v>3957.085</v>
      </c>
      <c r="E50" s="374">
        <f>E51+E65</f>
        <v>7612</v>
      </c>
      <c r="F50" s="40">
        <f>F51+F65</f>
        <v>0</v>
      </c>
      <c r="G50" s="40">
        <f>G51+G65</f>
        <v>7000</v>
      </c>
      <c r="H50" s="403" t="s">
        <v>588</v>
      </c>
      <c r="I50" s="404"/>
    </row>
    <row r="51" spans="1:9" ht="12.75">
      <c r="A51" s="21"/>
      <c r="B51" s="27">
        <v>3100</v>
      </c>
      <c r="C51" s="28" t="s">
        <v>41</v>
      </c>
      <c r="D51" s="374">
        <f>D52+D53+D56+D59+D63+D64+D65</f>
        <v>3957.085</v>
      </c>
      <c r="E51" s="374">
        <f>E52+E53+E56+E59+E63+E64+E65</f>
        <v>7612</v>
      </c>
      <c r="F51" s="40">
        <f>F52+F53+F56+F59+F63+F64+F65</f>
        <v>0</v>
      </c>
      <c r="G51" s="40">
        <f>G52+G53+G56+G59+G63+G64+G65</f>
        <v>7000</v>
      </c>
      <c r="H51" s="405"/>
      <c r="I51" s="406"/>
    </row>
    <row r="52" spans="1:10" ht="12.75">
      <c r="A52" s="21"/>
      <c r="B52" s="29">
        <v>3110</v>
      </c>
      <c r="C52" s="30" t="s">
        <v>74</v>
      </c>
      <c r="D52" s="373">
        <v>3957.085</v>
      </c>
      <c r="E52" s="373">
        <v>7612</v>
      </c>
      <c r="F52" s="41"/>
      <c r="G52" s="363">
        <v>7000</v>
      </c>
      <c r="H52" s="407"/>
      <c r="I52" s="408"/>
      <c r="J52" s="352">
        <v>6808</v>
      </c>
    </row>
    <row r="53" spans="1:9" ht="12.75" customHeight="1" hidden="1">
      <c r="A53" s="21"/>
      <c r="B53" s="29">
        <v>3120</v>
      </c>
      <c r="C53" s="30" t="s">
        <v>75</v>
      </c>
      <c r="D53" s="374">
        <f>D54+D55</f>
        <v>0</v>
      </c>
      <c r="E53" s="374">
        <f>E54+E55</f>
        <v>0</v>
      </c>
      <c r="F53" s="40">
        <f>F54+F55</f>
        <v>0</v>
      </c>
      <c r="G53" s="40">
        <f>G54+G55</f>
        <v>0</v>
      </c>
      <c r="H53" s="402"/>
      <c r="I53" s="402"/>
    </row>
    <row r="54" spans="1:9" ht="12.75" customHeight="1" hidden="1">
      <c r="A54" s="21"/>
      <c r="B54" s="29">
        <v>3121</v>
      </c>
      <c r="C54" s="30" t="s">
        <v>76</v>
      </c>
      <c r="D54" s="375"/>
      <c r="E54" s="375"/>
      <c r="F54" s="41"/>
      <c r="G54" s="41"/>
      <c r="H54" s="402"/>
      <c r="I54" s="402"/>
    </row>
    <row r="55" spans="1:9" ht="12.75" customHeight="1" hidden="1">
      <c r="A55" s="21"/>
      <c r="B55" s="29">
        <v>3122</v>
      </c>
      <c r="C55" s="30" t="s">
        <v>77</v>
      </c>
      <c r="D55" s="375"/>
      <c r="E55" s="375"/>
      <c r="F55" s="41"/>
      <c r="G55" s="41"/>
      <c r="H55" s="402"/>
      <c r="I55" s="402"/>
    </row>
    <row r="56" spans="1:9" ht="12.75" customHeight="1" hidden="1">
      <c r="A56" s="21"/>
      <c r="B56" s="29">
        <v>3130</v>
      </c>
      <c r="C56" s="30" t="s">
        <v>78</v>
      </c>
      <c r="D56" s="374">
        <f>D57+D58</f>
        <v>0</v>
      </c>
      <c r="E56" s="374">
        <f>E57+E58</f>
        <v>0</v>
      </c>
      <c r="F56" s="40">
        <f>F57+F58</f>
        <v>0</v>
      </c>
      <c r="G56" s="40">
        <f>G57+G58</f>
        <v>0</v>
      </c>
      <c r="H56" s="402"/>
      <c r="I56" s="402"/>
    </row>
    <row r="57" spans="1:9" ht="12.75" customHeight="1" hidden="1">
      <c r="A57" s="21"/>
      <c r="B57" s="29">
        <v>3131</v>
      </c>
      <c r="C57" s="30" t="s">
        <v>79</v>
      </c>
      <c r="D57" s="375"/>
      <c r="E57" s="375"/>
      <c r="F57" s="41"/>
      <c r="G57" s="41"/>
      <c r="H57" s="402"/>
      <c r="I57" s="402"/>
    </row>
    <row r="58" spans="1:9" ht="12.75" customHeight="1" hidden="1">
      <c r="A58" s="21"/>
      <c r="B58" s="29">
        <v>3132</v>
      </c>
      <c r="C58" s="30" t="s">
        <v>80</v>
      </c>
      <c r="D58" s="375"/>
      <c r="E58" s="375"/>
      <c r="F58" s="41"/>
      <c r="G58" s="41"/>
      <c r="H58" s="402"/>
      <c r="I58" s="402"/>
    </row>
    <row r="59" spans="1:9" ht="12.75" customHeight="1" hidden="1">
      <c r="A59" s="21"/>
      <c r="B59" s="29">
        <v>3140</v>
      </c>
      <c r="C59" s="30" t="s">
        <v>81</v>
      </c>
      <c r="D59" s="374">
        <f>D60+D61+D62</f>
        <v>0</v>
      </c>
      <c r="E59" s="374">
        <f>E60+E61+E62</f>
        <v>0</v>
      </c>
      <c r="F59" s="40">
        <f>F60+F61+F62</f>
        <v>0</v>
      </c>
      <c r="G59" s="40">
        <f>G60+G61+G62</f>
        <v>0</v>
      </c>
      <c r="H59" s="402"/>
      <c r="I59" s="402"/>
    </row>
    <row r="60" spans="1:9" ht="12.75" customHeight="1" hidden="1">
      <c r="A60" s="21"/>
      <c r="B60" s="29">
        <v>3141</v>
      </c>
      <c r="C60" s="30" t="s">
        <v>82</v>
      </c>
      <c r="D60" s="375"/>
      <c r="E60" s="375"/>
      <c r="F60" s="41"/>
      <c r="G60" s="41"/>
      <c r="H60" s="402"/>
      <c r="I60" s="402"/>
    </row>
    <row r="61" spans="1:9" ht="12.75" customHeight="1" hidden="1">
      <c r="A61" s="21"/>
      <c r="B61" s="29">
        <v>3142</v>
      </c>
      <c r="C61" s="30" t="s">
        <v>83</v>
      </c>
      <c r="D61" s="375"/>
      <c r="E61" s="375"/>
      <c r="F61" s="41"/>
      <c r="G61" s="41"/>
      <c r="H61" s="402"/>
      <c r="I61" s="402"/>
    </row>
    <row r="62" spans="1:9" ht="12.75" customHeight="1" hidden="1">
      <c r="A62" s="21"/>
      <c r="B62" s="29">
        <v>3143</v>
      </c>
      <c r="C62" s="30" t="s">
        <v>84</v>
      </c>
      <c r="D62" s="375"/>
      <c r="E62" s="375"/>
      <c r="F62" s="41"/>
      <c r="G62" s="41"/>
      <c r="H62" s="402"/>
      <c r="I62" s="402"/>
    </row>
    <row r="63" spans="1:9" ht="12.75" customHeight="1" hidden="1">
      <c r="A63" s="21"/>
      <c r="B63" s="29">
        <v>3150</v>
      </c>
      <c r="C63" s="30" t="s">
        <v>85</v>
      </c>
      <c r="D63" s="375"/>
      <c r="E63" s="375"/>
      <c r="F63" s="41"/>
      <c r="G63" s="41"/>
      <c r="H63" s="402"/>
      <c r="I63" s="402"/>
    </row>
    <row r="64" spans="1:9" ht="12.75" customHeight="1" hidden="1">
      <c r="A64" s="21"/>
      <c r="B64" s="29">
        <v>3160</v>
      </c>
      <c r="C64" s="30" t="s">
        <v>86</v>
      </c>
      <c r="D64" s="375"/>
      <c r="E64" s="375"/>
      <c r="F64" s="41"/>
      <c r="G64" s="41"/>
      <c r="H64" s="402"/>
      <c r="I64" s="402"/>
    </row>
    <row r="65" spans="1:9" ht="12.75" customHeight="1" hidden="1">
      <c r="A65" s="21"/>
      <c r="B65" s="27">
        <v>3200</v>
      </c>
      <c r="C65" s="28" t="s">
        <v>87</v>
      </c>
      <c r="D65" s="374">
        <f>D66+D67+D68+D69</f>
        <v>0</v>
      </c>
      <c r="E65" s="374">
        <f>E66+E67+E68+E69</f>
        <v>0</v>
      </c>
      <c r="F65" s="40">
        <f>F66+F67+F68+F69</f>
        <v>0</v>
      </c>
      <c r="G65" s="40">
        <f>G66+G67+G68+G69</f>
        <v>0</v>
      </c>
      <c r="H65" s="402"/>
      <c r="I65" s="402"/>
    </row>
    <row r="66" spans="1:9" ht="12.75" customHeight="1" hidden="1">
      <c r="A66" s="21"/>
      <c r="B66" s="29">
        <v>3210</v>
      </c>
      <c r="C66" s="30" t="s">
        <v>88</v>
      </c>
      <c r="D66" s="375"/>
      <c r="E66" s="375"/>
      <c r="F66" s="41"/>
      <c r="G66" s="41"/>
      <c r="H66" s="402"/>
      <c r="I66" s="402"/>
    </row>
    <row r="67" spans="1:9" ht="12.75" customHeight="1" hidden="1">
      <c r="A67" s="21"/>
      <c r="B67" s="29">
        <v>3220</v>
      </c>
      <c r="C67" s="30" t="s">
        <v>89</v>
      </c>
      <c r="D67" s="375"/>
      <c r="E67" s="375"/>
      <c r="F67" s="41"/>
      <c r="G67" s="41"/>
      <c r="H67" s="402"/>
      <c r="I67" s="402"/>
    </row>
    <row r="68" spans="1:9" ht="12.75" customHeight="1" hidden="1">
      <c r="A68" s="21"/>
      <c r="B68" s="29">
        <v>3230</v>
      </c>
      <c r="C68" s="30" t="s">
        <v>90</v>
      </c>
      <c r="D68" s="375"/>
      <c r="E68" s="375"/>
      <c r="F68" s="41"/>
      <c r="G68" s="41"/>
      <c r="H68" s="402"/>
      <c r="I68" s="402"/>
    </row>
    <row r="69" spans="1:9" ht="13.5" customHeight="1" hidden="1">
      <c r="A69" s="21"/>
      <c r="B69" s="29">
        <v>3240</v>
      </c>
      <c r="C69" s="30" t="s">
        <v>91</v>
      </c>
      <c r="D69" s="375"/>
      <c r="E69" s="375"/>
      <c r="F69" s="41"/>
      <c r="G69" s="41"/>
      <c r="H69" s="402"/>
      <c r="I69" s="402"/>
    </row>
    <row r="70" spans="1:10" s="19" customFormat="1" ht="13.5" customHeight="1">
      <c r="A70" s="7"/>
      <c r="B70" s="7"/>
      <c r="C70" s="20" t="s">
        <v>3</v>
      </c>
      <c r="D70" s="372">
        <f>D15+D50</f>
        <v>33822.945</v>
      </c>
      <c r="E70" s="372">
        <f>E15+E50</f>
        <v>46438.799999999996</v>
      </c>
      <c r="F70" s="34">
        <f>F15+F50</f>
        <v>40908.9</v>
      </c>
      <c r="G70" s="34">
        <f>G15+G50</f>
        <v>11807.2</v>
      </c>
      <c r="H70" s="402"/>
      <c r="I70" s="402"/>
      <c r="J70" s="353"/>
    </row>
    <row r="71" spans="2:10" s="37" customFormat="1" ht="12.75">
      <c r="B71" s="36">
        <v>1112090</v>
      </c>
      <c r="C71" s="36" t="s">
        <v>105</v>
      </c>
      <c r="D71" s="369">
        <f>D72+D107</f>
        <v>6301.099999999999</v>
      </c>
      <c r="E71" s="369">
        <f>E72+E107</f>
        <v>9754.5</v>
      </c>
      <c r="F71" s="44">
        <f>F72+F107</f>
        <v>5439.4</v>
      </c>
      <c r="G71" s="44">
        <f>G72+G107</f>
        <v>4271.2</v>
      </c>
      <c r="H71" s="402"/>
      <c r="I71" s="402"/>
      <c r="J71" s="350"/>
    </row>
    <row r="72" spans="1:9" ht="12.75">
      <c r="A72" s="6"/>
      <c r="B72" s="27">
        <v>2000</v>
      </c>
      <c r="C72" s="28" t="s">
        <v>37</v>
      </c>
      <c r="D72" s="370">
        <f>D73+D78+D95+D98+D102+D106</f>
        <v>3867.9999999999995</v>
      </c>
      <c r="E72" s="370">
        <f>E73+E78+E95+E98+E102+E106</f>
        <v>4973.5</v>
      </c>
      <c r="F72" s="33">
        <f>F73+F78+F95+F98+F102+F106</f>
        <v>5439.4</v>
      </c>
      <c r="G72" s="33">
        <f>G73+G78+G95+G98+G102+G106</f>
        <v>271.2</v>
      </c>
      <c r="H72" s="402"/>
      <c r="I72" s="402"/>
    </row>
    <row r="73" spans="1:9" ht="12.75">
      <c r="A73" s="6"/>
      <c r="B73" s="29">
        <v>2100</v>
      </c>
      <c r="C73" s="30" t="s">
        <v>38</v>
      </c>
      <c r="D73" s="371">
        <f>D74+D77</f>
        <v>2904.7</v>
      </c>
      <c r="E73" s="371">
        <f>E74+E77</f>
        <v>3263.2</v>
      </c>
      <c r="F73" s="35">
        <f>F74+F77</f>
        <v>3587</v>
      </c>
      <c r="G73" s="35">
        <f>G74+G77</f>
        <v>271.2</v>
      </c>
      <c r="H73" s="419" t="s">
        <v>604</v>
      </c>
      <c r="I73" s="420"/>
    </row>
    <row r="74" spans="1:9" ht="12.75">
      <c r="A74" s="6"/>
      <c r="B74" s="29">
        <v>2110</v>
      </c>
      <c r="C74" s="30" t="s">
        <v>39</v>
      </c>
      <c r="D74" s="371">
        <f>D75+D76</f>
        <v>2391.1</v>
      </c>
      <c r="E74" s="371">
        <f>E75+E76</f>
        <v>2683.2</v>
      </c>
      <c r="F74" s="35">
        <f>F75+F76</f>
        <v>2940.2</v>
      </c>
      <c r="G74" s="35">
        <f>G75+G76</f>
        <v>222.3</v>
      </c>
      <c r="H74" s="421"/>
      <c r="I74" s="422"/>
    </row>
    <row r="75" spans="1:9" ht="12.75">
      <c r="A75" s="6"/>
      <c r="B75" s="29">
        <v>2111</v>
      </c>
      <c r="C75" s="30" t="s">
        <v>42</v>
      </c>
      <c r="D75" s="372">
        <v>2391.1</v>
      </c>
      <c r="E75" s="372">
        <v>2683.2</v>
      </c>
      <c r="F75" s="34">
        <v>2940.2</v>
      </c>
      <c r="G75" s="34">
        <v>222.3</v>
      </c>
      <c r="H75" s="421"/>
      <c r="I75" s="422"/>
    </row>
    <row r="76" spans="1:9" ht="12.75" customHeight="1" hidden="1">
      <c r="A76" s="6"/>
      <c r="B76" s="29">
        <v>2112</v>
      </c>
      <c r="C76" s="30" t="s">
        <v>43</v>
      </c>
      <c r="D76" s="372">
        <v>0</v>
      </c>
      <c r="E76" s="372">
        <v>0</v>
      </c>
      <c r="F76" s="34">
        <v>0</v>
      </c>
      <c r="G76" s="34"/>
      <c r="H76" s="421"/>
      <c r="I76" s="422"/>
    </row>
    <row r="77" spans="1:9" ht="12.75">
      <c r="A77" s="6"/>
      <c r="B77" s="29">
        <v>2120</v>
      </c>
      <c r="C77" s="30" t="s">
        <v>44</v>
      </c>
      <c r="D77" s="372">
        <v>513.6</v>
      </c>
      <c r="E77" s="372">
        <v>580</v>
      </c>
      <c r="F77" s="34">
        <v>646.8</v>
      </c>
      <c r="G77" s="34">
        <v>48.9</v>
      </c>
      <c r="H77" s="423"/>
      <c r="I77" s="424"/>
    </row>
    <row r="78" spans="1:9" ht="12.75">
      <c r="A78" s="6"/>
      <c r="B78" s="27">
        <v>2200</v>
      </c>
      <c r="C78" s="28" t="s">
        <v>45</v>
      </c>
      <c r="D78" s="370">
        <f>SUM(D79:D85)+D92</f>
        <v>952.3999999999999</v>
      </c>
      <c r="E78" s="370">
        <f>SUM(E79:E85)+E92</f>
        <v>1710.3000000000002</v>
      </c>
      <c r="F78" s="33">
        <f>SUM(F79:F85)+F92</f>
        <v>1852.4</v>
      </c>
      <c r="G78" s="33">
        <f>SUM(G79:G85)+G92</f>
        <v>0</v>
      </c>
      <c r="H78" s="402"/>
      <c r="I78" s="402"/>
    </row>
    <row r="79" spans="1:9" ht="12.75">
      <c r="A79" s="6"/>
      <c r="B79" s="29">
        <v>2210</v>
      </c>
      <c r="C79" s="30" t="s">
        <v>46</v>
      </c>
      <c r="D79" s="372">
        <v>406.6</v>
      </c>
      <c r="E79" s="372">
        <v>489.2</v>
      </c>
      <c r="F79" s="34">
        <v>475.7</v>
      </c>
      <c r="G79" s="34"/>
      <c r="H79" s="402"/>
      <c r="I79" s="402"/>
    </row>
    <row r="80" spans="1:9" ht="12.75">
      <c r="A80" s="6"/>
      <c r="B80" s="29">
        <v>2220</v>
      </c>
      <c r="C80" s="30" t="s">
        <v>47</v>
      </c>
      <c r="D80" s="372">
        <v>112.5</v>
      </c>
      <c r="E80" s="372">
        <v>244.6</v>
      </c>
      <c r="F80" s="34">
        <v>244.6</v>
      </c>
      <c r="G80" s="34"/>
      <c r="H80" s="402"/>
      <c r="I80" s="402"/>
    </row>
    <row r="81" spans="1:9" ht="12.75" customHeight="1" hidden="1">
      <c r="A81" s="6"/>
      <c r="B81" s="29">
        <v>2230</v>
      </c>
      <c r="C81" s="30" t="s">
        <v>48</v>
      </c>
      <c r="D81" s="372">
        <v>0</v>
      </c>
      <c r="E81" s="372">
        <v>0</v>
      </c>
      <c r="F81" s="34">
        <v>0</v>
      </c>
      <c r="G81" s="34"/>
      <c r="H81" s="402"/>
      <c r="I81" s="402"/>
    </row>
    <row r="82" spans="1:9" ht="12.75">
      <c r="A82" s="6"/>
      <c r="B82" s="29">
        <v>2240</v>
      </c>
      <c r="C82" s="30" t="s">
        <v>49</v>
      </c>
      <c r="D82" s="372">
        <v>93.9</v>
      </c>
      <c r="E82" s="372">
        <v>68.1</v>
      </c>
      <c r="F82" s="34">
        <v>141.4</v>
      </c>
      <c r="G82" s="34"/>
      <c r="H82" s="402"/>
      <c r="I82" s="402"/>
    </row>
    <row r="83" spans="1:9" ht="12.75">
      <c r="A83" s="6"/>
      <c r="B83" s="29">
        <v>2250</v>
      </c>
      <c r="C83" s="30" t="s">
        <v>50</v>
      </c>
      <c r="D83" s="372">
        <v>24.4</v>
      </c>
      <c r="E83" s="372">
        <v>40</v>
      </c>
      <c r="F83" s="34">
        <v>37.5</v>
      </c>
      <c r="G83" s="34"/>
      <c r="H83" s="402"/>
      <c r="I83" s="402"/>
    </row>
    <row r="84" spans="1:9" ht="12.75" customHeight="1" hidden="1">
      <c r="A84" s="6"/>
      <c r="B84" s="29">
        <v>2260</v>
      </c>
      <c r="C84" s="30" t="s">
        <v>51</v>
      </c>
      <c r="D84" s="372"/>
      <c r="E84" s="372"/>
      <c r="F84" s="34"/>
      <c r="G84" s="34"/>
      <c r="H84" s="402"/>
      <c r="I84" s="402"/>
    </row>
    <row r="85" spans="1:9" ht="12.75">
      <c r="A85" s="6"/>
      <c r="B85" s="27">
        <v>2270</v>
      </c>
      <c r="C85" s="28" t="s">
        <v>52</v>
      </c>
      <c r="D85" s="370">
        <f>D86+D87+D88+D89+D90+D91</f>
        <v>313.2</v>
      </c>
      <c r="E85" s="370">
        <f>E86+E87+E88+E89+E90+E91</f>
        <v>854.9000000000001</v>
      </c>
      <c r="F85" s="33">
        <f>F86+F87+F88+F89+F90+F91</f>
        <v>933.7</v>
      </c>
      <c r="G85" s="33">
        <f>G86+G87+G88+G89+G90+G91</f>
        <v>0</v>
      </c>
      <c r="H85" s="402"/>
      <c r="I85" s="402"/>
    </row>
    <row r="86" spans="1:9" ht="12.75">
      <c r="A86" s="6"/>
      <c r="B86" s="29">
        <v>2271</v>
      </c>
      <c r="C86" s="30" t="s">
        <v>53</v>
      </c>
      <c r="D86" s="372">
        <v>220.2</v>
      </c>
      <c r="E86" s="372">
        <v>613.2</v>
      </c>
      <c r="F86" s="34">
        <v>675</v>
      </c>
      <c r="G86" s="34"/>
      <c r="H86" s="402"/>
      <c r="I86" s="402"/>
    </row>
    <row r="87" spans="1:9" ht="12.75">
      <c r="A87" s="6"/>
      <c r="B87" s="29">
        <v>2272</v>
      </c>
      <c r="C87" s="30" t="s">
        <v>54</v>
      </c>
      <c r="D87" s="372">
        <v>5.4</v>
      </c>
      <c r="E87" s="372">
        <v>77.7</v>
      </c>
      <c r="F87" s="34">
        <v>85.6</v>
      </c>
      <c r="G87" s="34"/>
      <c r="H87" s="402"/>
      <c r="I87" s="402"/>
    </row>
    <row r="88" spans="1:9" ht="12.75">
      <c r="A88" s="6"/>
      <c r="B88" s="29">
        <v>2273</v>
      </c>
      <c r="C88" s="30" t="s">
        <v>55</v>
      </c>
      <c r="D88" s="372">
        <v>46.8</v>
      </c>
      <c r="E88" s="372">
        <v>93.2</v>
      </c>
      <c r="F88" s="34">
        <v>102.5</v>
      </c>
      <c r="G88" s="34"/>
      <c r="H88" s="402"/>
      <c r="I88" s="402"/>
    </row>
    <row r="89" spans="1:9" ht="12.75">
      <c r="A89" s="6"/>
      <c r="B89" s="29">
        <v>2274</v>
      </c>
      <c r="C89" s="30" t="s">
        <v>56</v>
      </c>
      <c r="D89" s="372">
        <v>40.8</v>
      </c>
      <c r="E89" s="372">
        <v>70.8</v>
      </c>
      <c r="F89" s="34">
        <v>70.6</v>
      </c>
      <c r="G89" s="34"/>
      <c r="H89" s="402"/>
      <c r="I89" s="402"/>
    </row>
    <row r="90" spans="1:9" ht="12.75" customHeight="1" hidden="1">
      <c r="A90" s="6"/>
      <c r="B90" s="29">
        <v>2275</v>
      </c>
      <c r="C90" s="30" t="s">
        <v>57</v>
      </c>
      <c r="D90" s="372"/>
      <c r="E90" s="372"/>
      <c r="F90" s="34"/>
      <c r="G90" s="34"/>
      <c r="H90" s="402"/>
      <c r="I90" s="402"/>
    </row>
    <row r="91" spans="1:9" ht="12.75" customHeight="1" hidden="1">
      <c r="A91" s="6"/>
      <c r="B91" s="31">
        <v>2276</v>
      </c>
      <c r="C91" s="32" t="s">
        <v>58</v>
      </c>
      <c r="D91" s="372"/>
      <c r="E91" s="372"/>
      <c r="F91" s="34"/>
      <c r="G91" s="34"/>
      <c r="H91" s="402"/>
      <c r="I91" s="402"/>
    </row>
    <row r="92" spans="1:9" ht="12.75">
      <c r="A92" s="6"/>
      <c r="B92" s="27">
        <v>2280</v>
      </c>
      <c r="C92" s="28" t="s">
        <v>59</v>
      </c>
      <c r="D92" s="370">
        <f>D93+D94</f>
        <v>1.8</v>
      </c>
      <c r="E92" s="370">
        <f>E93+E94</f>
        <v>13.5</v>
      </c>
      <c r="F92" s="33">
        <f>F93+F94</f>
        <v>19.5</v>
      </c>
      <c r="G92" s="33">
        <f>G93+G94</f>
        <v>0</v>
      </c>
      <c r="H92" s="402"/>
      <c r="I92" s="402"/>
    </row>
    <row r="93" spans="1:9" ht="12.75" customHeight="1" hidden="1">
      <c r="A93" s="6"/>
      <c r="B93" s="29">
        <v>2281</v>
      </c>
      <c r="C93" s="30" t="s">
        <v>60</v>
      </c>
      <c r="D93" s="372"/>
      <c r="E93" s="372"/>
      <c r="F93" s="34"/>
      <c r="G93" s="34"/>
      <c r="H93" s="402"/>
      <c r="I93" s="402"/>
    </row>
    <row r="94" spans="1:9" ht="12.75">
      <c r="A94" s="6"/>
      <c r="B94" s="29">
        <v>2282</v>
      </c>
      <c r="C94" s="30" t="s">
        <v>61</v>
      </c>
      <c r="D94" s="372">
        <v>1.8</v>
      </c>
      <c r="E94" s="372">
        <v>13.5</v>
      </c>
      <c r="F94" s="34">
        <v>19.5</v>
      </c>
      <c r="G94" s="34"/>
      <c r="H94" s="402"/>
      <c r="I94" s="402"/>
    </row>
    <row r="95" spans="1:9" ht="12.75" customHeight="1" hidden="1">
      <c r="A95" s="6"/>
      <c r="B95" s="27">
        <v>2400</v>
      </c>
      <c r="C95" s="28" t="s">
        <v>62</v>
      </c>
      <c r="D95" s="372">
        <f>D96+D97</f>
        <v>0</v>
      </c>
      <c r="E95" s="372">
        <f>E96+E97</f>
        <v>0</v>
      </c>
      <c r="F95" s="34">
        <f>F96+F97</f>
        <v>0</v>
      </c>
      <c r="G95" s="34">
        <f>G96+G97</f>
        <v>0</v>
      </c>
      <c r="H95" s="402"/>
      <c r="I95" s="402"/>
    </row>
    <row r="96" spans="1:9" ht="12.75" customHeight="1" hidden="1">
      <c r="A96" s="6"/>
      <c r="B96" s="29">
        <v>2410</v>
      </c>
      <c r="C96" s="30" t="s">
        <v>63</v>
      </c>
      <c r="D96" s="372"/>
      <c r="E96" s="372"/>
      <c r="F96" s="34"/>
      <c r="G96" s="34"/>
      <c r="H96" s="402"/>
      <c r="I96" s="402"/>
    </row>
    <row r="97" spans="1:9" ht="12.75" customHeight="1" hidden="1">
      <c r="A97" s="6"/>
      <c r="B97" s="29">
        <v>2420</v>
      </c>
      <c r="C97" s="30" t="s">
        <v>64</v>
      </c>
      <c r="D97" s="372"/>
      <c r="E97" s="372"/>
      <c r="F97" s="34"/>
      <c r="G97" s="34"/>
      <c r="H97" s="402"/>
      <c r="I97" s="402"/>
    </row>
    <row r="98" spans="1:9" ht="12.75" customHeight="1" hidden="1">
      <c r="A98" s="6"/>
      <c r="B98" s="27">
        <v>2600</v>
      </c>
      <c r="C98" s="28" t="s">
        <v>65</v>
      </c>
      <c r="D98" s="370">
        <f>D99+D100+D101</f>
        <v>0</v>
      </c>
      <c r="E98" s="370">
        <f>E99+E100+E101</f>
        <v>0</v>
      </c>
      <c r="F98" s="33">
        <f>F99+F100+F101</f>
        <v>0</v>
      </c>
      <c r="G98" s="33">
        <f>G99+G100+G101</f>
        <v>0</v>
      </c>
      <c r="H98" s="402"/>
      <c r="I98" s="402"/>
    </row>
    <row r="99" spans="1:9" ht="12.75" customHeight="1" hidden="1">
      <c r="A99" s="6"/>
      <c r="B99" s="29">
        <v>2610</v>
      </c>
      <c r="C99" s="30" t="s">
        <v>66</v>
      </c>
      <c r="D99" s="372"/>
      <c r="E99" s="372"/>
      <c r="F99" s="34"/>
      <c r="G99" s="34"/>
      <c r="H99" s="402"/>
      <c r="I99" s="402"/>
    </row>
    <row r="100" spans="1:9" ht="12.75" customHeight="1" hidden="1">
      <c r="A100" s="6"/>
      <c r="B100" s="29">
        <v>2620</v>
      </c>
      <c r="C100" s="30" t="s">
        <v>67</v>
      </c>
      <c r="D100" s="372"/>
      <c r="E100" s="372"/>
      <c r="F100" s="34"/>
      <c r="G100" s="34"/>
      <c r="H100" s="402"/>
      <c r="I100" s="402"/>
    </row>
    <row r="101" spans="1:9" ht="12.75" customHeight="1" hidden="1">
      <c r="A101" s="6"/>
      <c r="B101" s="29">
        <v>2630</v>
      </c>
      <c r="C101" s="30" t="s">
        <v>68</v>
      </c>
      <c r="D101" s="372"/>
      <c r="E101" s="372"/>
      <c r="F101" s="34"/>
      <c r="G101" s="34"/>
      <c r="H101" s="402"/>
      <c r="I101" s="402"/>
    </row>
    <row r="102" spans="1:9" ht="12.75" customHeight="1" hidden="1">
      <c r="A102" s="6"/>
      <c r="B102" s="27">
        <v>2700</v>
      </c>
      <c r="C102" s="28" t="s">
        <v>69</v>
      </c>
      <c r="D102" s="370">
        <f>D103+D104+D105</f>
        <v>0</v>
      </c>
      <c r="E102" s="370">
        <f>E103+E104+E105</f>
        <v>0</v>
      </c>
      <c r="F102" s="33">
        <f>F103+F104+F105</f>
        <v>0</v>
      </c>
      <c r="G102" s="33">
        <f>G103+G104+G105</f>
        <v>0</v>
      </c>
      <c r="H102" s="402"/>
      <c r="I102" s="402"/>
    </row>
    <row r="103" spans="1:9" ht="12.75" customHeight="1" hidden="1">
      <c r="A103" s="6"/>
      <c r="B103" s="29">
        <v>2710</v>
      </c>
      <c r="C103" s="30" t="s">
        <v>70</v>
      </c>
      <c r="D103" s="373"/>
      <c r="E103" s="373"/>
      <c r="F103" s="42"/>
      <c r="G103" s="42"/>
      <c r="H103" s="402"/>
      <c r="I103" s="402"/>
    </row>
    <row r="104" spans="1:9" ht="12.75" customHeight="1" hidden="1">
      <c r="A104" s="6"/>
      <c r="B104" s="29">
        <v>2720</v>
      </c>
      <c r="C104" s="30" t="s">
        <v>71</v>
      </c>
      <c r="D104" s="373"/>
      <c r="E104" s="373"/>
      <c r="F104" s="34"/>
      <c r="G104" s="42"/>
      <c r="H104" s="402"/>
      <c r="I104" s="402"/>
    </row>
    <row r="105" spans="1:9" ht="12.75" customHeight="1" hidden="1">
      <c r="A105" s="6"/>
      <c r="B105" s="29">
        <v>2730</v>
      </c>
      <c r="C105" s="30" t="s">
        <v>72</v>
      </c>
      <c r="D105" s="373"/>
      <c r="E105" s="373"/>
      <c r="F105" s="34"/>
      <c r="G105" s="42"/>
      <c r="H105" s="402"/>
      <c r="I105" s="402"/>
    </row>
    <row r="106" spans="1:9" ht="12.75">
      <c r="A106" s="6"/>
      <c r="B106" s="27">
        <v>2800</v>
      </c>
      <c r="C106" s="28" t="s">
        <v>73</v>
      </c>
      <c r="D106" s="373">
        <v>10.9</v>
      </c>
      <c r="E106" s="372"/>
      <c r="F106" s="34"/>
      <c r="G106" s="42"/>
      <c r="H106" s="402"/>
      <c r="I106" s="402"/>
    </row>
    <row r="107" spans="1:9" ht="12.75">
      <c r="A107" s="21"/>
      <c r="B107" s="27">
        <v>3000</v>
      </c>
      <c r="C107" s="28" t="s">
        <v>40</v>
      </c>
      <c r="D107" s="374">
        <f>D108+D122</f>
        <v>2433.1</v>
      </c>
      <c r="E107" s="374">
        <f>E108+E122</f>
        <v>4781</v>
      </c>
      <c r="F107" s="40">
        <f>F108+F122</f>
        <v>0</v>
      </c>
      <c r="G107" s="40">
        <f>G108+G122</f>
        <v>4000</v>
      </c>
      <c r="H107" s="419" t="s">
        <v>603</v>
      </c>
      <c r="I107" s="420"/>
    </row>
    <row r="108" spans="1:9" ht="12.75">
      <c r="A108" s="21"/>
      <c r="B108" s="27">
        <v>3100</v>
      </c>
      <c r="C108" s="28" t="s">
        <v>41</v>
      </c>
      <c r="D108" s="374">
        <f>D109+D110+D113+D116+D120+D121+D122</f>
        <v>2433.1</v>
      </c>
      <c r="E108" s="374">
        <f>E109+E110+E113+E116+E120+E121+E122</f>
        <v>4781</v>
      </c>
      <c r="F108" s="40">
        <f>F109+F110+F113+F116+F120+F121+F122</f>
        <v>0</v>
      </c>
      <c r="G108" s="40">
        <f>G109+G110+G113+G116+G120+G121+G122</f>
        <v>4000</v>
      </c>
      <c r="H108" s="421"/>
      <c r="I108" s="422"/>
    </row>
    <row r="109" spans="1:10" ht="12.75">
      <c r="A109" s="21"/>
      <c r="B109" s="29">
        <v>3110</v>
      </c>
      <c r="C109" s="30" t="s">
        <v>74</v>
      </c>
      <c r="D109" s="373">
        <v>2433.1</v>
      </c>
      <c r="E109" s="373">
        <v>4781</v>
      </c>
      <c r="F109" s="41"/>
      <c r="G109" s="41">
        <v>4000</v>
      </c>
      <c r="H109" s="423"/>
      <c r="I109" s="424"/>
      <c r="J109" s="352">
        <v>4000</v>
      </c>
    </row>
    <row r="110" spans="1:9" ht="12.75" customHeight="1" hidden="1">
      <c r="A110" s="21"/>
      <c r="B110" s="29">
        <v>3120</v>
      </c>
      <c r="C110" s="30" t="s">
        <v>75</v>
      </c>
      <c r="D110" s="374">
        <f>D111+D112</f>
        <v>0</v>
      </c>
      <c r="E110" s="374">
        <f>E111+E112</f>
        <v>0</v>
      </c>
      <c r="F110" s="40">
        <f>F111+F112</f>
        <v>0</v>
      </c>
      <c r="G110" s="40">
        <f>G111+G112</f>
        <v>0</v>
      </c>
      <c r="H110" s="402"/>
      <c r="I110" s="402"/>
    </row>
    <row r="111" spans="1:9" ht="12.75" customHeight="1" hidden="1">
      <c r="A111" s="21"/>
      <c r="B111" s="29">
        <v>3121</v>
      </c>
      <c r="C111" s="30" t="s">
        <v>76</v>
      </c>
      <c r="D111" s="375"/>
      <c r="E111" s="375"/>
      <c r="F111" s="41"/>
      <c r="G111" s="41"/>
      <c r="H111" s="402"/>
      <c r="I111" s="402"/>
    </row>
    <row r="112" spans="1:9" ht="12.75" customHeight="1" hidden="1">
      <c r="A112" s="21"/>
      <c r="B112" s="29">
        <v>3122</v>
      </c>
      <c r="C112" s="30" t="s">
        <v>77</v>
      </c>
      <c r="D112" s="375"/>
      <c r="E112" s="375"/>
      <c r="F112" s="41"/>
      <c r="G112" s="41"/>
      <c r="H112" s="402"/>
      <c r="I112" s="402"/>
    </row>
    <row r="113" spans="1:9" ht="12.75" customHeight="1" hidden="1">
      <c r="A113" s="21"/>
      <c r="B113" s="29">
        <v>3130</v>
      </c>
      <c r="C113" s="30" t="s">
        <v>78</v>
      </c>
      <c r="D113" s="374">
        <f>D114+D115</f>
        <v>0</v>
      </c>
      <c r="E113" s="374">
        <f>E114+E115</f>
        <v>0</v>
      </c>
      <c r="F113" s="40">
        <f>F114+F115</f>
        <v>0</v>
      </c>
      <c r="G113" s="40">
        <f>G114+G115</f>
        <v>0</v>
      </c>
      <c r="H113" s="402"/>
      <c r="I113" s="402"/>
    </row>
    <row r="114" spans="1:9" ht="12.75" customHeight="1" hidden="1">
      <c r="A114" s="21"/>
      <c r="B114" s="29">
        <v>3131</v>
      </c>
      <c r="C114" s="30" t="s">
        <v>79</v>
      </c>
      <c r="D114" s="375"/>
      <c r="E114" s="375"/>
      <c r="F114" s="41"/>
      <c r="G114" s="41"/>
      <c r="H114" s="402"/>
      <c r="I114" s="402"/>
    </row>
    <row r="115" spans="1:9" ht="12.75" customHeight="1" hidden="1">
      <c r="A115" s="21"/>
      <c r="B115" s="29">
        <v>3132</v>
      </c>
      <c r="C115" s="30" t="s">
        <v>80</v>
      </c>
      <c r="D115" s="375"/>
      <c r="E115" s="375"/>
      <c r="F115" s="41"/>
      <c r="G115" s="41"/>
      <c r="H115" s="402"/>
      <c r="I115" s="402"/>
    </row>
    <row r="116" spans="1:9" ht="12.75" customHeight="1" hidden="1">
      <c r="A116" s="21"/>
      <c r="B116" s="29">
        <v>3140</v>
      </c>
      <c r="C116" s="30" t="s">
        <v>81</v>
      </c>
      <c r="D116" s="374">
        <f>D117+D118+D119</f>
        <v>0</v>
      </c>
      <c r="E116" s="374">
        <f>E117+E118+E119</f>
        <v>0</v>
      </c>
      <c r="F116" s="40">
        <f>F117+F118+F119</f>
        <v>0</v>
      </c>
      <c r="G116" s="40">
        <f>G117+G118+G119</f>
        <v>0</v>
      </c>
      <c r="H116" s="402"/>
      <c r="I116" s="402"/>
    </row>
    <row r="117" spans="1:9" ht="12.75" customHeight="1" hidden="1">
      <c r="A117" s="21"/>
      <c r="B117" s="29">
        <v>3141</v>
      </c>
      <c r="C117" s="30" t="s">
        <v>82</v>
      </c>
      <c r="D117" s="375"/>
      <c r="E117" s="375"/>
      <c r="F117" s="41"/>
      <c r="G117" s="41"/>
      <c r="H117" s="402"/>
      <c r="I117" s="402"/>
    </row>
    <row r="118" spans="1:9" ht="12.75" customHeight="1" hidden="1">
      <c r="A118" s="21"/>
      <c r="B118" s="29">
        <v>3142</v>
      </c>
      <c r="C118" s="30" t="s">
        <v>83</v>
      </c>
      <c r="D118" s="375"/>
      <c r="E118" s="375"/>
      <c r="F118" s="41"/>
      <c r="G118" s="41"/>
      <c r="H118" s="402"/>
      <c r="I118" s="402"/>
    </row>
    <row r="119" spans="1:9" ht="12.75" customHeight="1" hidden="1">
      <c r="A119" s="21"/>
      <c r="B119" s="29">
        <v>3143</v>
      </c>
      <c r="C119" s="30" t="s">
        <v>84</v>
      </c>
      <c r="D119" s="375"/>
      <c r="E119" s="375"/>
      <c r="F119" s="41"/>
      <c r="G119" s="41"/>
      <c r="H119" s="402"/>
      <c r="I119" s="402"/>
    </row>
    <row r="120" spans="1:9" ht="12.75" customHeight="1" hidden="1">
      <c r="A120" s="21"/>
      <c r="B120" s="29">
        <v>3150</v>
      </c>
      <c r="C120" s="30" t="s">
        <v>85</v>
      </c>
      <c r="D120" s="375"/>
      <c r="E120" s="375"/>
      <c r="F120" s="41"/>
      <c r="G120" s="41"/>
      <c r="H120" s="402"/>
      <c r="I120" s="402"/>
    </row>
    <row r="121" spans="1:9" ht="12.75" customHeight="1" hidden="1">
      <c r="A121" s="21"/>
      <c r="B121" s="29">
        <v>3160</v>
      </c>
      <c r="C121" s="30" t="s">
        <v>86</v>
      </c>
      <c r="D121" s="375"/>
      <c r="E121" s="375"/>
      <c r="F121" s="41"/>
      <c r="G121" s="41"/>
      <c r="H121" s="402"/>
      <c r="I121" s="402"/>
    </row>
    <row r="122" spans="1:9" ht="12.75" customHeight="1" hidden="1">
      <c r="A122" s="21"/>
      <c r="B122" s="27">
        <v>3200</v>
      </c>
      <c r="C122" s="28" t="s">
        <v>87</v>
      </c>
      <c r="D122" s="374">
        <f>D123+D124+D125+D126</f>
        <v>0</v>
      </c>
      <c r="E122" s="374">
        <f>E123+E124+E125+E126</f>
        <v>0</v>
      </c>
      <c r="F122" s="40">
        <f>F123+F124+F125+F126</f>
        <v>0</v>
      </c>
      <c r="G122" s="40">
        <f>G123+G124+G125+G126</f>
        <v>0</v>
      </c>
      <c r="H122" s="402"/>
      <c r="I122" s="402"/>
    </row>
    <row r="123" spans="1:9" ht="12.75" customHeight="1" hidden="1">
      <c r="A123" s="21"/>
      <c r="B123" s="29">
        <v>3210</v>
      </c>
      <c r="C123" s="30" t="s">
        <v>88</v>
      </c>
      <c r="D123" s="375"/>
      <c r="E123" s="375"/>
      <c r="F123" s="41"/>
      <c r="G123" s="41"/>
      <c r="H123" s="402"/>
      <c r="I123" s="402"/>
    </row>
    <row r="124" spans="1:9" ht="12.75" customHeight="1" hidden="1">
      <c r="A124" s="21"/>
      <c r="B124" s="29">
        <v>3220</v>
      </c>
      <c r="C124" s="30" t="s">
        <v>89</v>
      </c>
      <c r="D124" s="375"/>
      <c r="E124" s="375"/>
      <c r="F124" s="41"/>
      <c r="G124" s="41"/>
      <c r="H124" s="402"/>
      <c r="I124" s="402"/>
    </row>
    <row r="125" spans="1:9" ht="12.75" customHeight="1" hidden="1">
      <c r="A125" s="21"/>
      <c r="B125" s="29">
        <v>3230</v>
      </c>
      <c r="C125" s="30" t="s">
        <v>90</v>
      </c>
      <c r="D125" s="375"/>
      <c r="E125" s="375"/>
      <c r="F125" s="41"/>
      <c r="G125" s="41"/>
      <c r="H125" s="402"/>
      <c r="I125" s="402"/>
    </row>
    <row r="126" spans="1:9" ht="12.75" customHeight="1" hidden="1">
      <c r="A126" s="21"/>
      <c r="B126" s="29">
        <v>3240</v>
      </c>
      <c r="C126" s="30" t="s">
        <v>91</v>
      </c>
      <c r="D126" s="375"/>
      <c r="E126" s="375"/>
      <c r="F126" s="41"/>
      <c r="G126" s="41"/>
      <c r="H126" s="402"/>
      <c r="I126" s="402"/>
    </row>
    <row r="127" spans="1:10" s="19" customFormat="1" ht="12.75">
      <c r="A127" s="7"/>
      <c r="B127" s="7"/>
      <c r="C127" s="20" t="s">
        <v>3</v>
      </c>
      <c r="D127" s="372">
        <f>D72+D107</f>
        <v>6301.099999999999</v>
      </c>
      <c r="E127" s="372">
        <f>E72+E107</f>
        <v>9754.5</v>
      </c>
      <c r="F127" s="34">
        <f>F72+F107</f>
        <v>5439.4</v>
      </c>
      <c r="G127" s="34">
        <f>G72+G107</f>
        <v>4271.2</v>
      </c>
      <c r="H127" s="402"/>
      <c r="I127" s="402"/>
      <c r="J127" s="353"/>
    </row>
    <row r="128" spans="2:10" s="37" customFormat="1" ht="12.75">
      <c r="B128" s="36">
        <v>1113110</v>
      </c>
      <c r="C128" s="36" t="s">
        <v>168</v>
      </c>
      <c r="D128" s="376">
        <f>D129</f>
        <v>970.79</v>
      </c>
      <c r="E128" s="376">
        <f>E129</f>
        <v>1416.6</v>
      </c>
      <c r="F128" s="171">
        <f>F129</f>
        <v>1514.5</v>
      </c>
      <c r="G128" s="171">
        <f>G129</f>
        <v>0</v>
      </c>
      <c r="H128" s="402"/>
      <c r="I128" s="402"/>
      <c r="J128" s="350"/>
    </row>
    <row r="129" spans="2:10" s="48" customFormat="1" ht="26.25">
      <c r="B129" s="46">
        <v>1113111</v>
      </c>
      <c r="C129" s="46" t="s">
        <v>169</v>
      </c>
      <c r="D129" s="377">
        <f>D130+D165</f>
        <v>970.79</v>
      </c>
      <c r="E129" s="377">
        <f>E130+E165</f>
        <v>1416.6</v>
      </c>
      <c r="F129" s="124">
        <f>F130+F165</f>
        <v>1514.5</v>
      </c>
      <c r="G129" s="124">
        <f>G130+G165</f>
        <v>0</v>
      </c>
      <c r="H129" s="402"/>
      <c r="I129" s="402"/>
      <c r="J129" s="354"/>
    </row>
    <row r="130" spans="1:9" ht="12.75">
      <c r="A130" s="6"/>
      <c r="B130" s="27">
        <v>2000</v>
      </c>
      <c r="C130" s="28" t="s">
        <v>37</v>
      </c>
      <c r="D130" s="370">
        <f>D131+D136+D153+D156+D160+D164</f>
        <v>970.79</v>
      </c>
      <c r="E130" s="370">
        <f>E131+E136+E153+E156+E160+E164</f>
        <v>1416.6</v>
      </c>
      <c r="F130" s="33">
        <f>F131+F136+F153+F156+F160+F164</f>
        <v>1514.5</v>
      </c>
      <c r="G130" s="33">
        <f>G131+G136+G153+G156+G160+G164</f>
        <v>0</v>
      </c>
      <c r="H130" s="402"/>
      <c r="I130" s="402"/>
    </row>
    <row r="131" spans="1:9" ht="12.75">
      <c r="A131" s="6"/>
      <c r="B131" s="29">
        <v>2100</v>
      </c>
      <c r="C131" s="30" t="s">
        <v>38</v>
      </c>
      <c r="D131" s="371">
        <f>D132+D135</f>
        <v>610.4</v>
      </c>
      <c r="E131" s="371">
        <f>E132+E135</f>
        <v>956.8</v>
      </c>
      <c r="F131" s="35">
        <f>F132+F135</f>
        <v>1024.1</v>
      </c>
      <c r="G131" s="35">
        <f>G132+G135</f>
        <v>0</v>
      </c>
      <c r="H131" s="402"/>
      <c r="I131" s="402"/>
    </row>
    <row r="132" spans="1:9" ht="12.75">
      <c r="A132" s="6"/>
      <c r="B132" s="29">
        <v>2110</v>
      </c>
      <c r="C132" s="30" t="s">
        <v>39</v>
      </c>
      <c r="D132" s="371">
        <f>D133+D134</f>
        <v>500.3</v>
      </c>
      <c r="E132" s="371">
        <f>E133+E134</f>
        <v>783.8</v>
      </c>
      <c r="F132" s="35">
        <f>F133+F134</f>
        <v>839.4</v>
      </c>
      <c r="G132" s="35">
        <f>G133+G134</f>
        <v>0</v>
      </c>
      <c r="H132" s="402"/>
      <c r="I132" s="402"/>
    </row>
    <row r="133" spans="1:9" ht="12.75">
      <c r="A133" s="6"/>
      <c r="B133" s="29">
        <v>2111</v>
      </c>
      <c r="C133" s="30" t="s">
        <v>42</v>
      </c>
      <c r="D133" s="372">
        <v>500.3</v>
      </c>
      <c r="E133" s="372">
        <v>783.8</v>
      </c>
      <c r="F133" s="34">
        <v>839.4</v>
      </c>
      <c r="G133" s="34"/>
      <c r="H133" s="402"/>
      <c r="I133" s="402"/>
    </row>
    <row r="134" spans="1:9" ht="12.75" customHeight="1" hidden="1">
      <c r="A134" s="6"/>
      <c r="B134" s="29">
        <v>2112</v>
      </c>
      <c r="C134" s="30" t="s">
        <v>43</v>
      </c>
      <c r="D134" s="372">
        <v>0</v>
      </c>
      <c r="E134" s="372">
        <v>0</v>
      </c>
      <c r="F134" s="34">
        <v>0</v>
      </c>
      <c r="G134" s="34"/>
      <c r="H134" s="402"/>
      <c r="I134" s="402"/>
    </row>
    <row r="135" spans="1:9" ht="12.75">
      <c r="A135" s="6"/>
      <c r="B135" s="29">
        <v>2120</v>
      </c>
      <c r="C135" s="30" t="s">
        <v>44</v>
      </c>
      <c r="D135" s="372">
        <v>110.1</v>
      </c>
      <c r="E135" s="372">
        <v>173</v>
      </c>
      <c r="F135" s="34">
        <f>ROUND(F133*0.22,1)</f>
        <v>184.7</v>
      </c>
      <c r="G135" s="34"/>
      <c r="H135" s="402"/>
      <c r="I135" s="402"/>
    </row>
    <row r="136" spans="1:9" ht="12.75">
      <c r="A136" s="6"/>
      <c r="B136" s="27">
        <v>2200</v>
      </c>
      <c r="C136" s="28" t="s">
        <v>45</v>
      </c>
      <c r="D136" s="370">
        <f>SUM(D137:D143)+D150</f>
        <v>360.39</v>
      </c>
      <c r="E136" s="370">
        <f>SUM(E137:E143)+E150</f>
        <v>459.8</v>
      </c>
      <c r="F136" s="33">
        <f>SUM(F137:F143)+F150</f>
        <v>490.4</v>
      </c>
      <c r="G136" s="33">
        <f>SUM(G137:G143)+G150</f>
        <v>0</v>
      </c>
      <c r="H136" s="402"/>
      <c r="I136" s="402"/>
    </row>
    <row r="137" spans="1:9" ht="12.75">
      <c r="A137" s="6"/>
      <c r="B137" s="29">
        <v>2210</v>
      </c>
      <c r="C137" s="30" t="s">
        <v>46</v>
      </c>
      <c r="D137" s="372">
        <v>156.9</v>
      </c>
      <c r="E137" s="372">
        <v>146.2</v>
      </c>
      <c r="F137" s="34">
        <v>146.1</v>
      </c>
      <c r="G137" s="34"/>
      <c r="H137" s="402"/>
      <c r="I137" s="402"/>
    </row>
    <row r="138" spans="1:9" ht="12.75" customHeight="1" hidden="1">
      <c r="A138" s="6"/>
      <c r="B138" s="29">
        <v>2220</v>
      </c>
      <c r="C138" s="30" t="s">
        <v>47</v>
      </c>
      <c r="D138" s="372">
        <v>0</v>
      </c>
      <c r="E138" s="372">
        <v>0</v>
      </c>
      <c r="F138" s="34">
        <v>0</v>
      </c>
      <c r="G138" s="34"/>
      <c r="H138" s="402"/>
      <c r="I138" s="402"/>
    </row>
    <row r="139" spans="1:9" ht="12.75" customHeight="1" hidden="1">
      <c r="A139" s="6"/>
      <c r="B139" s="29">
        <v>2230</v>
      </c>
      <c r="C139" s="30" t="s">
        <v>48</v>
      </c>
      <c r="D139" s="372">
        <v>0</v>
      </c>
      <c r="E139" s="372">
        <v>0</v>
      </c>
      <c r="F139" s="34">
        <v>0</v>
      </c>
      <c r="G139" s="34"/>
      <c r="H139" s="402"/>
      <c r="I139" s="402"/>
    </row>
    <row r="140" spans="1:9" ht="12.75">
      <c r="A140" s="6"/>
      <c r="B140" s="29">
        <v>2240</v>
      </c>
      <c r="C140" s="30" t="s">
        <v>49</v>
      </c>
      <c r="D140" s="372">
        <v>11</v>
      </c>
      <c r="E140" s="372">
        <v>32</v>
      </c>
      <c r="F140" s="34">
        <v>33</v>
      </c>
      <c r="G140" s="34"/>
      <c r="H140" s="402"/>
      <c r="I140" s="402"/>
    </row>
    <row r="141" spans="1:9" ht="12.75">
      <c r="A141" s="6"/>
      <c r="B141" s="29">
        <v>2250</v>
      </c>
      <c r="C141" s="30" t="s">
        <v>50</v>
      </c>
      <c r="D141" s="372">
        <v>0.19</v>
      </c>
      <c r="E141" s="372">
        <v>2</v>
      </c>
      <c r="F141" s="34">
        <v>3.7</v>
      </c>
      <c r="G141" s="34"/>
      <c r="H141" s="402"/>
      <c r="I141" s="402"/>
    </row>
    <row r="142" spans="1:9" ht="12.75" customHeight="1" hidden="1">
      <c r="A142" s="6"/>
      <c r="B142" s="29">
        <v>2260</v>
      </c>
      <c r="C142" s="30" t="s">
        <v>51</v>
      </c>
      <c r="D142" s="372"/>
      <c r="E142" s="372"/>
      <c r="F142" s="34"/>
      <c r="G142" s="34"/>
      <c r="H142" s="402"/>
      <c r="I142" s="402"/>
    </row>
    <row r="143" spans="1:9" ht="12.75">
      <c r="A143" s="6"/>
      <c r="B143" s="27">
        <v>2270</v>
      </c>
      <c r="C143" s="28" t="s">
        <v>52</v>
      </c>
      <c r="D143" s="370">
        <f>D144+D145+D146+D147+D148+D149</f>
        <v>192.3</v>
      </c>
      <c r="E143" s="370">
        <f>E144+E145+E146+E147+E148+E149</f>
        <v>279.6</v>
      </c>
      <c r="F143" s="33">
        <f>F144+F145+F146+F147+F148+F149</f>
        <v>307.59999999999997</v>
      </c>
      <c r="G143" s="33">
        <f>G144+G145+G146+G147+G148+G149</f>
        <v>0</v>
      </c>
      <c r="H143" s="402"/>
      <c r="I143" s="402"/>
    </row>
    <row r="144" spans="1:9" ht="12.75">
      <c r="A144" s="6"/>
      <c r="B144" s="29">
        <v>2271</v>
      </c>
      <c r="C144" s="30" t="s">
        <v>53</v>
      </c>
      <c r="D144" s="372">
        <v>135.68</v>
      </c>
      <c r="E144" s="372">
        <v>183.6</v>
      </c>
      <c r="F144" s="34">
        <v>187.1</v>
      </c>
      <c r="G144" s="34"/>
      <c r="H144" s="402"/>
      <c r="I144" s="402"/>
    </row>
    <row r="145" spans="1:9" ht="12.75">
      <c r="A145" s="6"/>
      <c r="B145" s="29">
        <v>2272</v>
      </c>
      <c r="C145" s="30" t="s">
        <v>54</v>
      </c>
      <c r="D145" s="372">
        <v>16.5</v>
      </c>
      <c r="E145" s="372">
        <v>36</v>
      </c>
      <c r="F145" s="34">
        <v>37.3</v>
      </c>
      <c r="G145" s="34"/>
      <c r="H145" s="402"/>
      <c r="I145" s="402"/>
    </row>
    <row r="146" spans="1:9" ht="12.75">
      <c r="A146" s="6"/>
      <c r="B146" s="29">
        <v>2273</v>
      </c>
      <c r="C146" s="30" t="s">
        <v>55</v>
      </c>
      <c r="D146" s="372">
        <v>40.12</v>
      </c>
      <c r="E146" s="372">
        <v>60</v>
      </c>
      <c r="F146" s="34">
        <v>83.2</v>
      </c>
      <c r="G146" s="34"/>
      <c r="H146" s="402"/>
      <c r="I146" s="402"/>
    </row>
    <row r="147" spans="1:9" ht="12.75" customHeight="1" hidden="1">
      <c r="A147" s="6"/>
      <c r="B147" s="29">
        <v>2274</v>
      </c>
      <c r="C147" s="30" t="s">
        <v>56</v>
      </c>
      <c r="D147" s="372"/>
      <c r="E147" s="372"/>
      <c r="F147" s="34"/>
      <c r="G147" s="34"/>
      <c r="H147" s="402"/>
      <c r="I147" s="402"/>
    </row>
    <row r="148" spans="1:9" ht="12.75" customHeight="1" hidden="1">
      <c r="A148" s="6"/>
      <c r="B148" s="29">
        <v>2275</v>
      </c>
      <c r="C148" s="30" t="s">
        <v>57</v>
      </c>
      <c r="D148" s="372"/>
      <c r="E148" s="372"/>
      <c r="F148" s="34"/>
      <c r="G148" s="34"/>
      <c r="H148" s="402"/>
      <c r="I148" s="402"/>
    </row>
    <row r="149" spans="1:9" ht="12.75" customHeight="1" hidden="1">
      <c r="A149" s="6"/>
      <c r="B149" s="31">
        <v>2276</v>
      </c>
      <c r="C149" s="32" t="s">
        <v>58</v>
      </c>
      <c r="D149" s="372"/>
      <c r="E149" s="372"/>
      <c r="F149" s="34"/>
      <c r="G149" s="34"/>
      <c r="H149" s="402"/>
      <c r="I149" s="402"/>
    </row>
    <row r="150" spans="1:9" ht="12.75" hidden="1">
      <c r="A150" s="6"/>
      <c r="B150" s="27">
        <v>2280</v>
      </c>
      <c r="C150" s="28" t="s">
        <v>59</v>
      </c>
      <c r="D150" s="370">
        <f>D151+D152</f>
        <v>0</v>
      </c>
      <c r="E150" s="370">
        <f>E151+E152</f>
        <v>0</v>
      </c>
      <c r="F150" s="33">
        <f>F151+F152</f>
        <v>0</v>
      </c>
      <c r="G150" s="33">
        <f>G151+G152</f>
        <v>0</v>
      </c>
      <c r="H150" s="402"/>
      <c r="I150" s="402"/>
    </row>
    <row r="151" spans="1:9" ht="12.75" customHeight="1" hidden="1">
      <c r="A151" s="6"/>
      <c r="B151" s="29">
        <v>2281</v>
      </c>
      <c r="C151" s="30" t="s">
        <v>60</v>
      </c>
      <c r="D151" s="372"/>
      <c r="E151" s="372"/>
      <c r="F151" s="34"/>
      <c r="G151" s="34"/>
      <c r="H151" s="402"/>
      <c r="I151" s="402"/>
    </row>
    <row r="152" spans="1:9" ht="12.75" hidden="1">
      <c r="A152" s="6"/>
      <c r="B152" s="29">
        <v>2282</v>
      </c>
      <c r="C152" s="30" t="s">
        <v>61</v>
      </c>
      <c r="D152" s="372"/>
      <c r="E152" s="372"/>
      <c r="F152" s="34"/>
      <c r="G152" s="34"/>
      <c r="H152" s="402"/>
      <c r="I152" s="402"/>
    </row>
    <row r="153" spans="1:9" ht="12.75" customHeight="1" hidden="1">
      <c r="A153" s="6"/>
      <c r="B153" s="27">
        <v>2400</v>
      </c>
      <c r="C153" s="28" t="s">
        <v>62</v>
      </c>
      <c r="D153" s="372">
        <f>D154+D155</f>
        <v>0</v>
      </c>
      <c r="E153" s="372">
        <f>E154+E155</f>
        <v>0</v>
      </c>
      <c r="F153" s="34">
        <f>F154+F155</f>
        <v>0</v>
      </c>
      <c r="G153" s="34">
        <f>G154+G155</f>
        <v>0</v>
      </c>
      <c r="H153" s="402"/>
      <c r="I153" s="402"/>
    </row>
    <row r="154" spans="1:9" ht="12.75" customHeight="1" hidden="1">
      <c r="A154" s="6"/>
      <c r="B154" s="29">
        <v>2410</v>
      </c>
      <c r="C154" s="30" t="s">
        <v>63</v>
      </c>
      <c r="D154" s="372"/>
      <c r="E154" s="372"/>
      <c r="F154" s="34"/>
      <c r="G154" s="34"/>
      <c r="H154" s="402"/>
      <c r="I154" s="402"/>
    </row>
    <row r="155" spans="1:9" ht="12.75" customHeight="1" hidden="1">
      <c r="A155" s="6"/>
      <c r="B155" s="29">
        <v>2420</v>
      </c>
      <c r="C155" s="30" t="s">
        <v>64</v>
      </c>
      <c r="D155" s="372"/>
      <c r="E155" s="372"/>
      <c r="F155" s="34"/>
      <c r="G155" s="34"/>
      <c r="H155" s="402"/>
      <c r="I155" s="402"/>
    </row>
    <row r="156" spans="1:9" ht="12.75" customHeight="1" hidden="1">
      <c r="A156" s="6"/>
      <c r="B156" s="27">
        <v>2600</v>
      </c>
      <c r="C156" s="28" t="s">
        <v>65</v>
      </c>
      <c r="D156" s="370">
        <f>D157+D158+D159</f>
        <v>0</v>
      </c>
      <c r="E156" s="370">
        <f>E157+E158+E159</f>
        <v>0</v>
      </c>
      <c r="F156" s="33">
        <f>F157+F158+F159</f>
        <v>0</v>
      </c>
      <c r="G156" s="33">
        <f>G157+G158+G159</f>
        <v>0</v>
      </c>
      <c r="H156" s="402"/>
      <c r="I156" s="402"/>
    </row>
    <row r="157" spans="1:9" ht="12.75" customHeight="1" hidden="1">
      <c r="A157" s="6"/>
      <c r="B157" s="29">
        <v>2610</v>
      </c>
      <c r="C157" s="30" t="s">
        <v>66</v>
      </c>
      <c r="D157" s="372"/>
      <c r="E157" s="372"/>
      <c r="F157" s="34"/>
      <c r="G157" s="34"/>
      <c r="H157" s="402"/>
      <c r="I157" s="402"/>
    </row>
    <row r="158" spans="1:9" ht="12.75" customHeight="1" hidden="1">
      <c r="A158" s="6"/>
      <c r="B158" s="29">
        <v>2620</v>
      </c>
      <c r="C158" s="30" t="s">
        <v>67</v>
      </c>
      <c r="D158" s="372"/>
      <c r="E158" s="372"/>
      <c r="F158" s="34"/>
      <c r="G158" s="34"/>
      <c r="H158" s="402"/>
      <c r="I158" s="402"/>
    </row>
    <row r="159" spans="1:9" ht="12.75" customHeight="1" hidden="1">
      <c r="A159" s="6"/>
      <c r="B159" s="29">
        <v>2630</v>
      </c>
      <c r="C159" s="30" t="s">
        <v>68</v>
      </c>
      <c r="D159" s="372"/>
      <c r="E159" s="372"/>
      <c r="F159" s="34"/>
      <c r="G159" s="34"/>
      <c r="H159" s="402"/>
      <c r="I159" s="402"/>
    </row>
    <row r="160" spans="1:9" ht="12.75" customHeight="1" hidden="1">
      <c r="A160" s="6"/>
      <c r="B160" s="27">
        <v>2700</v>
      </c>
      <c r="C160" s="28" t="s">
        <v>69</v>
      </c>
      <c r="D160" s="370">
        <f>D161+D162+D163</f>
        <v>0</v>
      </c>
      <c r="E160" s="370">
        <f>E161+E162+E163</f>
        <v>0</v>
      </c>
      <c r="F160" s="33">
        <f>F161+F162+F163</f>
        <v>0</v>
      </c>
      <c r="G160" s="33">
        <f>G161+G162+G163</f>
        <v>0</v>
      </c>
      <c r="H160" s="402"/>
      <c r="I160" s="402"/>
    </row>
    <row r="161" spans="1:9" ht="12.75" customHeight="1" hidden="1">
      <c r="A161" s="6"/>
      <c r="B161" s="29">
        <v>2710</v>
      </c>
      <c r="C161" s="30" t="s">
        <v>70</v>
      </c>
      <c r="D161" s="373"/>
      <c r="E161" s="373"/>
      <c r="F161" s="42"/>
      <c r="G161" s="42"/>
      <c r="H161" s="402"/>
      <c r="I161" s="402"/>
    </row>
    <row r="162" spans="1:9" ht="12.75" customHeight="1" hidden="1">
      <c r="A162" s="6"/>
      <c r="B162" s="29">
        <v>2720</v>
      </c>
      <c r="C162" s="30" t="s">
        <v>71</v>
      </c>
      <c r="D162" s="373"/>
      <c r="E162" s="373"/>
      <c r="F162" s="34"/>
      <c r="G162" s="42"/>
      <c r="H162" s="402"/>
      <c r="I162" s="402"/>
    </row>
    <row r="163" spans="1:9" ht="12.75" customHeight="1" hidden="1">
      <c r="A163" s="6"/>
      <c r="B163" s="29">
        <v>2730</v>
      </c>
      <c r="C163" s="30" t="s">
        <v>72</v>
      </c>
      <c r="D163" s="373"/>
      <c r="E163" s="373"/>
      <c r="F163" s="34"/>
      <c r="G163" s="42"/>
      <c r="H163" s="402"/>
      <c r="I163" s="402"/>
    </row>
    <row r="164" spans="1:9" ht="12.75" hidden="1">
      <c r="A164" s="6"/>
      <c r="B164" s="27">
        <v>2800</v>
      </c>
      <c r="C164" s="28" t="s">
        <v>73</v>
      </c>
      <c r="D164" s="373"/>
      <c r="E164" s="372"/>
      <c r="F164" s="34"/>
      <c r="G164" s="42"/>
      <c r="H164" s="402"/>
      <c r="I164" s="402"/>
    </row>
    <row r="165" spans="1:9" ht="12.75" hidden="1">
      <c r="A165" s="21"/>
      <c r="B165" s="27">
        <v>3000</v>
      </c>
      <c r="C165" s="28" t="s">
        <v>40</v>
      </c>
      <c r="D165" s="374">
        <f>D166+D180</f>
        <v>0</v>
      </c>
      <c r="E165" s="374">
        <f>E166+E180</f>
        <v>0</v>
      </c>
      <c r="F165" s="40">
        <f>F166+F180</f>
        <v>0</v>
      </c>
      <c r="G165" s="40">
        <f>G166+G180</f>
        <v>0</v>
      </c>
      <c r="H165" s="402"/>
      <c r="I165" s="402"/>
    </row>
    <row r="166" spans="1:9" ht="12.75" hidden="1">
      <c r="A166" s="21"/>
      <c r="B166" s="27">
        <v>3100</v>
      </c>
      <c r="C166" s="28" t="s">
        <v>41</v>
      </c>
      <c r="D166" s="374">
        <f>D167+D168+D171+D174+D178+D179+D180</f>
        <v>0</v>
      </c>
      <c r="E166" s="374">
        <f>E167+E168+E171+E174+E178+E179+E180</f>
        <v>0</v>
      </c>
      <c r="F166" s="40">
        <f>F167+F168+F171+F174+F178+F179+F180</f>
        <v>0</v>
      </c>
      <c r="G166" s="40">
        <f>G167+G168+G171+G174+G178+G179+G180</f>
        <v>0</v>
      </c>
      <c r="H166" s="402"/>
      <c r="I166" s="402"/>
    </row>
    <row r="167" spans="1:9" ht="12.75" hidden="1">
      <c r="A167" s="21"/>
      <c r="B167" s="29">
        <v>3110</v>
      </c>
      <c r="C167" s="30" t="s">
        <v>74</v>
      </c>
      <c r="D167" s="375"/>
      <c r="E167" s="375"/>
      <c r="F167" s="41"/>
      <c r="G167" s="41"/>
      <c r="H167" s="402"/>
      <c r="I167" s="402"/>
    </row>
    <row r="168" spans="1:9" ht="12.75" customHeight="1" hidden="1">
      <c r="A168" s="21"/>
      <c r="B168" s="29">
        <v>3120</v>
      </c>
      <c r="C168" s="30" t="s">
        <v>75</v>
      </c>
      <c r="D168" s="374">
        <f>D169+D170</f>
        <v>0</v>
      </c>
      <c r="E168" s="374">
        <f>E169+E170</f>
        <v>0</v>
      </c>
      <c r="F168" s="40">
        <f>F169+F170</f>
        <v>0</v>
      </c>
      <c r="G168" s="40">
        <f>G169+G170</f>
        <v>0</v>
      </c>
      <c r="H168" s="402"/>
      <c r="I168" s="402"/>
    </row>
    <row r="169" spans="1:9" ht="12.75" customHeight="1" hidden="1">
      <c r="A169" s="21"/>
      <c r="B169" s="29">
        <v>3121</v>
      </c>
      <c r="C169" s="30" t="s">
        <v>76</v>
      </c>
      <c r="D169" s="375"/>
      <c r="E169" s="375"/>
      <c r="F169" s="41"/>
      <c r="G169" s="41"/>
      <c r="H169" s="402"/>
      <c r="I169" s="402"/>
    </row>
    <row r="170" spans="1:9" ht="12.75" customHeight="1" hidden="1">
      <c r="A170" s="21"/>
      <c r="B170" s="29">
        <v>3122</v>
      </c>
      <c r="C170" s="30" t="s">
        <v>77</v>
      </c>
      <c r="D170" s="375"/>
      <c r="E170" s="375"/>
      <c r="F170" s="41"/>
      <c r="G170" s="41"/>
      <c r="H170" s="402"/>
      <c r="I170" s="402"/>
    </row>
    <row r="171" spans="1:9" ht="12.75" customHeight="1" hidden="1">
      <c r="A171" s="21"/>
      <c r="B171" s="29">
        <v>3130</v>
      </c>
      <c r="C171" s="30" t="s">
        <v>78</v>
      </c>
      <c r="D171" s="374">
        <f>D172+D173</f>
        <v>0</v>
      </c>
      <c r="E171" s="374">
        <f>E172+E173</f>
        <v>0</v>
      </c>
      <c r="F171" s="40">
        <f>F172+F173</f>
        <v>0</v>
      </c>
      <c r="G171" s="40">
        <f>G172+G173</f>
        <v>0</v>
      </c>
      <c r="H171" s="402"/>
      <c r="I171" s="402"/>
    </row>
    <row r="172" spans="1:9" ht="12.75" customHeight="1" hidden="1">
      <c r="A172" s="21"/>
      <c r="B172" s="29">
        <v>3131</v>
      </c>
      <c r="C172" s="30" t="s">
        <v>79</v>
      </c>
      <c r="D172" s="375"/>
      <c r="E172" s="375"/>
      <c r="F172" s="41"/>
      <c r="G172" s="41"/>
      <c r="H172" s="402"/>
      <c r="I172" s="402"/>
    </row>
    <row r="173" spans="1:9" ht="12.75" customHeight="1" hidden="1">
      <c r="A173" s="21"/>
      <c r="B173" s="29">
        <v>3132</v>
      </c>
      <c r="C173" s="30" t="s">
        <v>80</v>
      </c>
      <c r="D173" s="375"/>
      <c r="E173" s="375"/>
      <c r="F173" s="41"/>
      <c r="G173" s="41"/>
      <c r="H173" s="402"/>
      <c r="I173" s="402"/>
    </row>
    <row r="174" spans="1:9" ht="12.75" customHeight="1" hidden="1">
      <c r="A174" s="21"/>
      <c r="B174" s="29">
        <v>3140</v>
      </c>
      <c r="C174" s="30" t="s">
        <v>81</v>
      </c>
      <c r="D174" s="374">
        <f>D175+D176+D177</f>
        <v>0</v>
      </c>
      <c r="E174" s="374">
        <f>E175+E176+E177</f>
        <v>0</v>
      </c>
      <c r="F174" s="40">
        <f>F175+F176+F177</f>
        <v>0</v>
      </c>
      <c r="G174" s="40">
        <f>G175+G176+G177</f>
        <v>0</v>
      </c>
      <c r="H174" s="402"/>
      <c r="I174" s="402"/>
    </row>
    <row r="175" spans="1:9" ht="12.75" customHeight="1" hidden="1">
      <c r="A175" s="21"/>
      <c r="B175" s="29">
        <v>3141</v>
      </c>
      <c r="C175" s="30" t="s">
        <v>82</v>
      </c>
      <c r="D175" s="375"/>
      <c r="E175" s="375"/>
      <c r="F175" s="41"/>
      <c r="G175" s="41"/>
      <c r="H175" s="402"/>
      <c r="I175" s="402"/>
    </row>
    <row r="176" spans="1:9" ht="12.75" customHeight="1" hidden="1">
      <c r="A176" s="21"/>
      <c r="B176" s="29">
        <v>3142</v>
      </c>
      <c r="C176" s="30" t="s">
        <v>83</v>
      </c>
      <c r="D176" s="375"/>
      <c r="E176" s="375"/>
      <c r="F176" s="41"/>
      <c r="G176" s="41"/>
      <c r="H176" s="402"/>
      <c r="I176" s="402"/>
    </row>
    <row r="177" spans="1:9" ht="12.75" customHeight="1" hidden="1">
      <c r="A177" s="21"/>
      <c r="B177" s="29">
        <v>3143</v>
      </c>
      <c r="C177" s="30" t="s">
        <v>84</v>
      </c>
      <c r="D177" s="375"/>
      <c r="E177" s="375"/>
      <c r="F177" s="41"/>
      <c r="G177" s="41"/>
      <c r="H177" s="402"/>
      <c r="I177" s="402"/>
    </row>
    <row r="178" spans="1:9" ht="12.75" customHeight="1" hidden="1">
      <c r="A178" s="21"/>
      <c r="B178" s="29">
        <v>3150</v>
      </c>
      <c r="C178" s="30" t="s">
        <v>85</v>
      </c>
      <c r="D178" s="375"/>
      <c r="E178" s="375"/>
      <c r="F178" s="41"/>
      <c r="G178" s="41"/>
      <c r="H178" s="402"/>
      <c r="I178" s="402"/>
    </row>
    <row r="179" spans="1:9" ht="12.75" customHeight="1" hidden="1">
      <c r="A179" s="21"/>
      <c r="B179" s="29">
        <v>3160</v>
      </c>
      <c r="C179" s="30" t="s">
        <v>86</v>
      </c>
      <c r="D179" s="375"/>
      <c r="E179" s="375"/>
      <c r="F179" s="41"/>
      <c r="G179" s="41"/>
      <c r="H179" s="402"/>
      <c r="I179" s="402"/>
    </row>
    <row r="180" spans="1:9" ht="12.75" customHeight="1" hidden="1">
      <c r="A180" s="21"/>
      <c r="B180" s="27">
        <v>3200</v>
      </c>
      <c r="C180" s="28" t="s">
        <v>87</v>
      </c>
      <c r="D180" s="374">
        <f>D181+D182+D183+D184</f>
        <v>0</v>
      </c>
      <c r="E180" s="374">
        <f>E181+E182+E183+E184</f>
        <v>0</v>
      </c>
      <c r="F180" s="40">
        <f>F181+F182+F183+F184</f>
        <v>0</v>
      </c>
      <c r="G180" s="40">
        <f>G181+G182+G183+G184</f>
        <v>0</v>
      </c>
      <c r="H180" s="402"/>
      <c r="I180" s="402"/>
    </row>
    <row r="181" spans="1:9" ht="12.75" customHeight="1" hidden="1">
      <c r="A181" s="21"/>
      <c r="B181" s="29">
        <v>3210</v>
      </c>
      <c r="C181" s="30" t="s">
        <v>88</v>
      </c>
      <c r="D181" s="375"/>
      <c r="E181" s="375"/>
      <c r="F181" s="41"/>
      <c r="G181" s="41"/>
      <c r="H181" s="402"/>
      <c r="I181" s="402"/>
    </row>
    <row r="182" spans="1:9" ht="12.75" customHeight="1" hidden="1">
      <c r="A182" s="21"/>
      <c r="B182" s="29">
        <v>3220</v>
      </c>
      <c r="C182" s="30" t="s">
        <v>89</v>
      </c>
      <c r="D182" s="375"/>
      <c r="E182" s="375"/>
      <c r="F182" s="41"/>
      <c r="G182" s="41"/>
      <c r="H182" s="402"/>
      <c r="I182" s="402"/>
    </row>
    <row r="183" spans="1:9" ht="12.75" customHeight="1" hidden="1">
      <c r="A183" s="21"/>
      <c r="B183" s="29">
        <v>3230</v>
      </c>
      <c r="C183" s="30" t="s">
        <v>90</v>
      </c>
      <c r="D183" s="375"/>
      <c r="E183" s="375"/>
      <c r="F183" s="41"/>
      <c r="G183" s="41"/>
      <c r="H183" s="402"/>
      <c r="I183" s="402"/>
    </row>
    <row r="184" spans="1:9" ht="12.75" customHeight="1" hidden="1">
      <c r="A184" s="21"/>
      <c r="B184" s="29">
        <v>3240</v>
      </c>
      <c r="C184" s="30" t="s">
        <v>91</v>
      </c>
      <c r="D184" s="375"/>
      <c r="E184" s="375"/>
      <c r="F184" s="41"/>
      <c r="G184" s="41"/>
      <c r="H184" s="402"/>
      <c r="I184" s="402"/>
    </row>
    <row r="185" spans="1:10" s="19" customFormat="1" ht="12.75">
      <c r="A185" s="7"/>
      <c r="B185" s="7"/>
      <c r="C185" s="20" t="s">
        <v>3</v>
      </c>
      <c r="D185" s="372">
        <f>D130+D165</f>
        <v>970.79</v>
      </c>
      <c r="E185" s="372">
        <f>E130+E165</f>
        <v>1416.6</v>
      </c>
      <c r="F185" s="34">
        <f>F130+F165</f>
        <v>1514.5</v>
      </c>
      <c r="G185" s="34">
        <f>G130+G165</f>
        <v>0</v>
      </c>
      <c r="H185" s="402"/>
      <c r="I185" s="402"/>
      <c r="J185" s="353"/>
    </row>
    <row r="186" spans="2:10" s="37" customFormat="1" ht="12.75">
      <c r="B186" s="125">
        <v>1113120</v>
      </c>
      <c r="C186" s="126" t="s">
        <v>163</v>
      </c>
      <c r="D186" s="376">
        <f>D187+D244</f>
        <v>405.52</v>
      </c>
      <c r="E186" s="376">
        <f>E187+E244</f>
        <v>420.19</v>
      </c>
      <c r="F186" s="171">
        <f>F187+F244</f>
        <v>347.2</v>
      </c>
      <c r="G186" s="171">
        <f>G187+G244</f>
        <v>0</v>
      </c>
      <c r="H186" s="402"/>
      <c r="I186" s="402"/>
      <c r="J186" s="350"/>
    </row>
    <row r="187" spans="2:10" s="128" customFormat="1" ht="15" customHeight="1">
      <c r="B187" s="127">
        <v>1113122</v>
      </c>
      <c r="C187" s="127" t="s">
        <v>161</v>
      </c>
      <c r="D187" s="378">
        <f>D188+D223</f>
        <v>54.28999999999999</v>
      </c>
      <c r="E187" s="378">
        <f>E188+E223</f>
        <v>162</v>
      </c>
      <c r="F187" s="123">
        <f>F188+F223</f>
        <v>147.2</v>
      </c>
      <c r="G187" s="123">
        <f>G188+G223</f>
        <v>0</v>
      </c>
      <c r="H187" s="402"/>
      <c r="I187" s="402"/>
      <c r="J187" s="355"/>
    </row>
    <row r="188" spans="1:9" ht="12.75">
      <c r="A188" s="6"/>
      <c r="B188" s="27">
        <v>2000</v>
      </c>
      <c r="C188" s="28" t="s">
        <v>37</v>
      </c>
      <c r="D188" s="370">
        <f>D189+D194+D211+D214+D218+D222</f>
        <v>54.28999999999999</v>
      </c>
      <c r="E188" s="370">
        <f>E189+E194+E211+E214+E218+E222</f>
        <v>162</v>
      </c>
      <c r="F188" s="33">
        <f>F189+F194+F211+F214+F218+F222</f>
        <v>147.2</v>
      </c>
      <c r="G188" s="33">
        <f>G189+G194+G211+G214+G218+G222</f>
        <v>0</v>
      </c>
      <c r="H188" s="402"/>
      <c r="I188" s="402"/>
    </row>
    <row r="189" spans="1:9" ht="12.75" customHeight="1" hidden="1">
      <c r="A189" s="6"/>
      <c r="B189" s="29">
        <v>2100</v>
      </c>
      <c r="C189" s="30" t="s">
        <v>38</v>
      </c>
      <c r="D189" s="371">
        <f>D190+D193</f>
        <v>0</v>
      </c>
      <c r="E189" s="371">
        <f>E190+E193</f>
        <v>0</v>
      </c>
      <c r="F189" s="35">
        <f>F190+F193</f>
        <v>0</v>
      </c>
      <c r="G189" s="35">
        <f>G190+G193</f>
        <v>0</v>
      </c>
      <c r="H189" s="402"/>
      <c r="I189" s="402"/>
    </row>
    <row r="190" spans="1:9" ht="12.75" customHeight="1" hidden="1">
      <c r="A190" s="6"/>
      <c r="B190" s="29">
        <v>2110</v>
      </c>
      <c r="C190" s="30" t="s">
        <v>39</v>
      </c>
      <c r="D190" s="371">
        <f>D191+D192</f>
        <v>0</v>
      </c>
      <c r="E190" s="371">
        <f>E191+E192</f>
        <v>0</v>
      </c>
      <c r="F190" s="35">
        <f>F191+F192</f>
        <v>0</v>
      </c>
      <c r="G190" s="35">
        <f>G191+G192</f>
        <v>0</v>
      </c>
      <c r="H190" s="402"/>
      <c r="I190" s="402"/>
    </row>
    <row r="191" spans="1:9" ht="12.75" customHeight="1" hidden="1">
      <c r="A191" s="6"/>
      <c r="B191" s="29">
        <v>2111</v>
      </c>
      <c r="C191" s="30" t="s">
        <v>42</v>
      </c>
      <c r="D191" s="372"/>
      <c r="E191" s="372"/>
      <c r="F191" s="34"/>
      <c r="G191" s="34"/>
      <c r="H191" s="402"/>
      <c r="I191" s="402"/>
    </row>
    <row r="192" spans="1:9" ht="12.75" customHeight="1" hidden="1">
      <c r="A192" s="6"/>
      <c r="B192" s="29">
        <v>2112</v>
      </c>
      <c r="C192" s="30" t="s">
        <v>43</v>
      </c>
      <c r="D192" s="372"/>
      <c r="E192" s="372"/>
      <c r="F192" s="34"/>
      <c r="G192" s="34"/>
      <c r="H192" s="402"/>
      <c r="I192" s="402"/>
    </row>
    <row r="193" spans="1:9" ht="12.75" customHeight="1" hidden="1">
      <c r="A193" s="6"/>
      <c r="B193" s="29">
        <v>2120</v>
      </c>
      <c r="C193" s="30" t="s">
        <v>44</v>
      </c>
      <c r="D193" s="372"/>
      <c r="E193" s="372"/>
      <c r="F193" s="34"/>
      <c r="G193" s="34"/>
      <c r="H193" s="402"/>
      <c r="I193" s="402"/>
    </row>
    <row r="194" spans="1:9" ht="12.75">
      <c r="A194" s="6"/>
      <c r="B194" s="27">
        <v>2200</v>
      </c>
      <c r="C194" s="28" t="s">
        <v>45</v>
      </c>
      <c r="D194" s="370">
        <f>SUM(D195:D201)+D208</f>
        <v>54.28999999999999</v>
      </c>
      <c r="E194" s="370">
        <f>SUM(E195:E201)+E208</f>
        <v>162</v>
      </c>
      <c r="F194" s="33">
        <f>SUM(F195:F201)+F208</f>
        <v>147.2</v>
      </c>
      <c r="G194" s="33">
        <f>SUM(G195:G201)+G208</f>
        <v>0</v>
      </c>
      <c r="H194" s="402"/>
      <c r="I194" s="402"/>
    </row>
    <row r="195" spans="1:9" ht="12.75">
      <c r="A195" s="6"/>
      <c r="B195" s="29">
        <v>2210</v>
      </c>
      <c r="C195" s="30" t="s">
        <v>46</v>
      </c>
      <c r="D195" s="372">
        <v>18.34</v>
      </c>
      <c r="E195" s="372">
        <v>73</v>
      </c>
      <c r="F195" s="34">
        <v>64.3</v>
      </c>
      <c r="G195" s="34"/>
      <c r="H195" s="402"/>
      <c r="I195" s="402"/>
    </row>
    <row r="196" spans="1:9" ht="12.75" customHeight="1" hidden="1">
      <c r="A196" s="6"/>
      <c r="B196" s="29">
        <v>2220</v>
      </c>
      <c r="C196" s="30" t="s">
        <v>47</v>
      </c>
      <c r="D196" s="372">
        <v>0</v>
      </c>
      <c r="E196" s="372">
        <v>0</v>
      </c>
      <c r="F196" s="34">
        <v>0</v>
      </c>
      <c r="G196" s="34"/>
      <c r="H196" s="402"/>
      <c r="I196" s="402"/>
    </row>
    <row r="197" spans="1:9" ht="12.75" customHeight="1" hidden="1">
      <c r="A197" s="6"/>
      <c r="B197" s="29">
        <v>2230</v>
      </c>
      <c r="C197" s="30" t="s">
        <v>48</v>
      </c>
      <c r="D197" s="372">
        <v>0</v>
      </c>
      <c r="E197" s="372">
        <v>0</v>
      </c>
      <c r="F197" s="34">
        <v>0</v>
      </c>
      <c r="G197" s="34"/>
      <c r="H197" s="402"/>
      <c r="I197" s="402"/>
    </row>
    <row r="198" spans="1:9" ht="12.75">
      <c r="A198" s="6"/>
      <c r="B198" s="29">
        <v>2240</v>
      </c>
      <c r="C198" s="30" t="s">
        <v>49</v>
      </c>
      <c r="D198" s="372">
        <v>35.65</v>
      </c>
      <c r="E198" s="372">
        <v>83.1</v>
      </c>
      <c r="F198" s="34">
        <v>79.9</v>
      </c>
      <c r="G198" s="34"/>
      <c r="H198" s="402"/>
      <c r="I198" s="402"/>
    </row>
    <row r="199" spans="1:9" ht="12.75">
      <c r="A199" s="6"/>
      <c r="B199" s="29">
        <v>2250</v>
      </c>
      <c r="C199" s="30" t="s">
        <v>50</v>
      </c>
      <c r="D199" s="372">
        <v>0.3</v>
      </c>
      <c r="E199" s="372">
        <v>5.9</v>
      </c>
      <c r="F199" s="34">
        <v>3</v>
      </c>
      <c r="G199" s="34"/>
      <c r="H199" s="402"/>
      <c r="I199" s="402"/>
    </row>
    <row r="200" spans="1:9" ht="12.75" customHeight="1" hidden="1">
      <c r="A200" s="6"/>
      <c r="B200" s="29">
        <v>2260</v>
      </c>
      <c r="C200" s="30" t="s">
        <v>51</v>
      </c>
      <c r="D200" s="372"/>
      <c r="E200" s="372"/>
      <c r="F200" s="34"/>
      <c r="G200" s="34"/>
      <c r="H200" s="402"/>
      <c r="I200" s="402"/>
    </row>
    <row r="201" spans="1:9" ht="12.75" customHeight="1" hidden="1">
      <c r="A201" s="6"/>
      <c r="B201" s="27">
        <v>2270</v>
      </c>
      <c r="C201" s="28" t="s">
        <v>52</v>
      </c>
      <c r="D201" s="370">
        <f>D202+D203+D204+D205+D206+D207</f>
        <v>0</v>
      </c>
      <c r="E201" s="370">
        <f>E202+E203+E204+E205+E206+E207</f>
        <v>0</v>
      </c>
      <c r="F201" s="33">
        <f>F202+F203+F204+F205+F206+F207</f>
        <v>0</v>
      </c>
      <c r="G201" s="33">
        <f>G202+G203+G204+G205+G206+G207</f>
        <v>0</v>
      </c>
      <c r="H201" s="402"/>
      <c r="I201" s="402"/>
    </row>
    <row r="202" spans="1:9" ht="12.75" customHeight="1" hidden="1">
      <c r="A202" s="6"/>
      <c r="B202" s="29">
        <v>2271</v>
      </c>
      <c r="C202" s="30" t="s">
        <v>53</v>
      </c>
      <c r="D202" s="372"/>
      <c r="E202" s="372"/>
      <c r="F202" s="34"/>
      <c r="G202" s="34"/>
      <c r="H202" s="402"/>
      <c r="I202" s="402"/>
    </row>
    <row r="203" spans="1:9" ht="12.75" customHeight="1" hidden="1">
      <c r="A203" s="6"/>
      <c r="B203" s="29">
        <v>2272</v>
      </c>
      <c r="C203" s="30" t="s">
        <v>54</v>
      </c>
      <c r="D203" s="372"/>
      <c r="E203" s="372"/>
      <c r="F203" s="34"/>
      <c r="G203" s="34"/>
      <c r="H203" s="402"/>
      <c r="I203" s="402"/>
    </row>
    <row r="204" spans="1:9" ht="12.75" customHeight="1" hidden="1">
      <c r="A204" s="6"/>
      <c r="B204" s="29">
        <v>2273</v>
      </c>
      <c r="C204" s="30" t="s">
        <v>55</v>
      </c>
      <c r="D204" s="372"/>
      <c r="E204" s="372"/>
      <c r="F204" s="34"/>
      <c r="G204" s="34"/>
      <c r="H204" s="402"/>
      <c r="I204" s="402"/>
    </row>
    <row r="205" spans="1:9" ht="12.75" customHeight="1" hidden="1">
      <c r="A205" s="6"/>
      <c r="B205" s="29">
        <v>2274</v>
      </c>
      <c r="C205" s="30" t="s">
        <v>56</v>
      </c>
      <c r="D205" s="372"/>
      <c r="E205" s="372"/>
      <c r="F205" s="34"/>
      <c r="G205" s="34"/>
      <c r="H205" s="402"/>
      <c r="I205" s="402"/>
    </row>
    <row r="206" spans="1:9" ht="12.75" customHeight="1" hidden="1">
      <c r="A206" s="6"/>
      <c r="B206" s="29">
        <v>2275</v>
      </c>
      <c r="C206" s="30" t="s">
        <v>57</v>
      </c>
      <c r="D206" s="372"/>
      <c r="E206" s="372"/>
      <c r="F206" s="34"/>
      <c r="G206" s="34"/>
      <c r="H206" s="402"/>
      <c r="I206" s="402"/>
    </row>
    <row r="207" spans="1:9" ht="12.75" customHeight="1" hidden="1">
      <c r="A207" s="6"/>
      <c r="B207" s="31">
        <v>2276</v>
      </c>
      <c r="C207" s="32" t="s">
        <v>58</v>
      </c>
      <c r="D207" s="372"/>
      <c r="E207" s="372"/>
      <c r="F207" s="34"/>
      <c r="G207" s="34"/>
      <c r="H207" s="402"/>
      <c r="I207" s="402"/>
    </row>
    <row r="208" spans="1:9" ht="12.75" customHeight="1" hidden="1">
      <c r="A208" s="6"/>
      <c r="B208" s="27">
        <v>2280</v>
      </c>
      <c r="C208" s="28" t="s">
        <v>59</v>
      </c>
      <c r="D208" s="370">
        <f>D209+D210</f>
        <v>0</v>
      </c>
      <c r="E208" s="370">
        <f>E209+E210</f>
        <v>0</v>
      </c>
      <c r="F208" s="33">
        <f>F209+F210</f>
        <v>0</v>
      </c>
      <c r="G208" s="33">
        <f>G209+G210</f>
        <v>0</v>
      </c>
      <c r="H208" s="402"/>
      <c r="I208" s="402"/>
    </row>
    <row r="209" spans="1:9" ht="12.75" customHeight="1" hidden="1">
      <c r="A209" s="6"/>
      <c r="B209" s="29">
        <v>2281</v>
      </c>
      <c r="C209" s="30" t="s">
        <v>60</v>
      </c>
      <c r="D209" s="372"/>
      <c r="E209" s="372"/>
      <c r="F209" s="34"/>
      <c r="G209" s="34"/>
      <c r="H209" s="402"/>
      <c r="I209" s="402"/>
    </row>
    <row r="210" spans="1:9" ht="12.75" customHeight="1" hidden="1">
      <c r="A210" s="6"/>
      <c r="B210" s="29">
        <v>2282</v>
      </c>
      <c r="C210" s="30" t="s">
        <v>61</v>
      </c>
      <c r="D210" s="372"/>
      <c r="E210" s="372"/>
      <c r="F210" s="34"/>
      <c r="G210" s="34"/>
      <c r="H210" s="402"/>
      <c r="I210" s="402"/>
    </row>
    <row r="211" spans="1:9" ht="12.75" customHeight="1" hidden="1">
      <c r="A211" s="6"/>
      <c r="B211" s="27">
        <v>2400</v>
      </c>
      <c r="C211" s="28" t="s">
        <v>62</v>
      </c>
      <c r="D211" s="372">
        <f>D212+D213</f>
        <v>0</v>
      </c>
      <c r="E211" s="372">
        <f>E212+E213</f>
        <v>0</v>
      </c>
      <c r="F211" s="34">
        <f>F212+F213</f>
        <v>0</v>
      </c>
      <c r="G211" s="34">
        <f>G212+G213</f>
        <v>0</v>
      </c>
      <c r="H211" s="402"/>
      <c r="I211" s="402"/>
    </row>
    <row r="212" spans="1:9" ht="12.75" customHeight="1" hidden="1">
      <c r="A212" s="6"/>
      <c r="B212" s="29">
        <v>2410</v>
      </c>
      <c r="C212" s="30" t="s">
        <v>63</v>
      </c>
      <c r="D212" s="372"/>
      <c r="E212" s="372"/>
      <c r="F212" s="34"/>
      <c r="G212" s="34"/>
      <c r="H212" s="402"/>
      <c r="I212" s="402"/>
    </row>
    <row r="213" spans="1:9" ht="12.75" customHeight="1" hidden="1">
      <c r="A213" s="6"/>
      <c r="B213" s="29">
        <v>2420</v>
      </c>
      <c r="C213" s="30" t="s">
        <v>64</v>
      </c>
      <c r="D213" s="372"/>
      <c r="E213" s="372"/>
      <c r="F213" s="34"/>
      <c r="G213" s="34"/>
      <c r="H213" s="402"/>
      <c r="I213" s="402"/>
    </row>
    <row r="214" spans="1:9" ht="12.75" customHeight="1" hidden="1">
      <c r="A214" s="6"/>
      <c r="B214" s="27">
        <v>2600</v>
      </c>
      <c r="C214" s="28" t="s">
        <v>65</v>
      </c>
      <c r="D214" s="370">
        <f>D215+D216+D217</f>
        <v>0</v>
      </c>
      <c r="E214" s="370">
        <f>E215+E216+E217</f>
        <v>0</v>
      </c>
      <c r="F214" s="33">
        <f>F215+F216+F217</f>
        <v>0</v>
      </c>
      <c r="G214" s="33">
        <f>G215+G216+G217</f>
        <v>0</v>
      </c>
      <c r="H214" s="402"/>
      <c r="I214" s="402"/>
    </row>
    <row r="215" spans="1:9" ht="12.75" customHeight="1" hidden="1">
      <c r="A215" s="6"/>
      <c r="B215" s="29">
        <v>2610</v>
      </c>
      <c r="C215" s="30" t="s">
        <v>66</v>
      </c>
      <c r="D215" s="372"/>
      <c r="E215" s="372"/>
      <c r="F215" s="34"/>
      <c r="G215" s="34"/>
      <c r="H215" s="402"/>
      <c r="I215" s="402"/>
    </row>
    <row r="216" spans="1:9" ht="12.75" customHeight="1" hidden="1">
      <c r="A216" s="6"/>
      <c r="B216" s="29">
        <v>2620</v>
      </c>
      <c r="C216" s="30" t="s">
        <v>67</v>
      </c>
      <c r="D216" s="372"/>
      <c r="E216" s="372"/>
      <c r="F216" s="34"/>
      <c r="G216" s="34"/>
      <c r="H216" s="402"/>
      <c r="I216" s="402"/>
    </row>
    <row r="217" spans="1:9" ht="12.75" customHeight="1" hidden="1">
      <c r="A217" s="6"/>
      <c r="B217" s="29">
        <v>2630</v>
      </c>
      <c r="C217" s="30" t="s">
        <v>68</v>
      </c>
      <c r="D217" s="372"/>
      <c r="E217" s="372"/>
      <c r="F217" s="34"/>
      <c r="G217" s="34"/>
      <c r="H217" s="402"/>
      <c r="I217" s="402"/>
    </row>
    <row r="218" spans="1:9" ht="12.75" customHeight="1" hidden="1">
      <c r="A218" s="6"/>
      <c r="B218" s="27">
        <v>2700</v>
      </c>
      <c r="C218" s="28" t="s">
        <v>69</v>
      </c>
      <c r="D218" s="370">
        <f>D219+D220+D221</f>
        <v>0</v>
      </c>
      <c r="E218" s="370">
        <f>E219+E220+E221</f>
        <v>0</v>
      </c>
      <c r="F218" s="33">
        <f>F219+F220+F221</f>
        <v>0</v>
      </c>
      <c r="G218" s="33">
        <f>G219+G220+G221</f>
        <v>0</v>
      </c>
      <c r="H218" s="402"/>
      <c r="I218" s="402"/>
    </row>
    <row r="219" spans="1:9" ht="12.75" customHeight="1" hidden="1">
      <c r="A219" s="6"/>
      <c r="B219" s="29">
        <v>2710</v>
      </c>
      <c r="C219" s="30" t="s">
        <v>70</v>
      </c>
      <c r="D219" s="373"/>
      <c r="E219" s="373"/>
      <c r="F219" s="42"/>
      <c r="G219" s="42"/>
      <c r="H219" s="402"/>
      <c r="I219" s="402"/>
    </row>
    <row r="220" spans="1:9" ht="12.75" customHeight="1" hidden="1">
      <c r="A220" s="6"/>
      <c r="B220" s="29">
        <v>2720</v>
      </c>
      <c r="C220" s="30" t="s">
        <v>71</v>
      </c>
      <c r="D220" s="373"/>
      <c r="E220" s="373"/>
      <c r="F220" s="34"/>
      <c r="G220" s="42"/>
      <c r="H220" s="402"/>
      <c r="I220" s="402"/>
    </row>
    <row r="221" spans="1:9" ht="12.75" customHeight="1" hidden="1">
      <c r="A221" s="6"/>
      <c r="B221" s="29">
        <v>2730</v>
      </c>
      <c r="C221" s="30" t="s">
        <v>72</v>
      </c>
      <c r="D221" s="373"/>
      <c r="E221" s="373"/>
      <c r="F221" s="34"/>
      <c r="G221" s="42"/>
      <c r="H221" s="402"/>
      <c r="I221" s="402"/>
    </row>
    <row r="222" spans="1:9" ht="12.75" customHeight="1" hidden="1">
      <c r="A222" s="6"/>
      <c r="B222" s="27">
        <v>2800</v>
      </c>
      <c r="C222" s="28" t="s">
        <v>73</v>
      </c>
      <c r="D222" s="373"/>
      <c r="E222" s="372"/>
      <c r="F222" s="34"/>
      <c r="G222" s="42"/>
      <c r="H222" s="402"/>
      <c r="I222" s="402"/>
    </row>
    <row r="223" spans="1:9" ht="12.75" customHeight="1" hidden="1">
      <c r="A223" s="21"/>
      <c r="B223" s="27">
        <v>3000</v>
      </c>
      <c r="C223" s="28" t="s">
        <v>40</v>
      </c>
      <c r="D223" s="374">
        <f>D224+D238</f>
        <v>0</v>
      </c>
      <c r="E223" s="374">
        <f>E224+E238</f>
        <v>0</v>
      </c>
      <c r="F223" s="40">
        <f>F224+F238</f>
        <v>0</v>
      </c>
      <c r="G223" s="40">
        <f>G224+G238</f>
        <v>0</v>
      </c>
      <c r="H223" s="402"/>
      <c r="I223" s="402"/>
    </row>
    <row r="224" spans="1:9" ht="12.75" customHeight="1" hidden="1">
      <c r="A224" s="21"/>
      <c r="B224" s="27">
        <v>3100</v>
      </c>
      <c r="C224" s="28" t="s">
        <v>41</v>
      </c>
      <c r="D224" s="374">
        <f>D225+D226+D229+D232+D236+D237+D238</f>
        <v>0</v>
      </c>
      <c r="E224" s="374">
        <f>E225+E226+E229+E232+E236+E237+E238</f>
        <v>0</v>
      </c>
      <c r="F224" s="40">
        <f>F225+F226+F229+F232+F236+F237+F238</f>
        <v>0</v>
      </c>
      <c r="G224" s="40">
        <f>G225+G226+G229+G232+G236+G237+G238</f>
        <v>0</v>
      </c>
      <c r="H224" s="402"/>
      <c r="I224" s="402"/>
    </row>
    <row r="225" spans="1:9" ht="12.75" customHeight="1" hidden="1">
      <c r="A225" s="21"/>
      <c r="B225" s="29">
        <v>3110</v>
      </c>
      <c r="C225" s="30" t="s">
        <v>74</v>
      </c>
      <c r="D225" s="375"/>
      <c r="E225" s="375"/>
      <c r="F225" s="41"/>
      <c r="G225" s="41"/>
      <c r="H225" s="402"/>
      <c r="I225" s="402"/>
    </row>
    <row r="226" spans="1:9" ht="12.75" customHeight="1" hidden="1">
      <c r="A226" s="21"/>
      <c r="B226" s="29">
        <v>3120</v>
      </c>
      <c r="C226" s="30" t="s">
        <v>75</v>
      </c>
      <c r="D226" s="374">
        <f>D227+D228</f>
        <v>0</v>
      </c>
      <c r="E226" s="374">
        <f>E227+E228</f>
        <v>0</v>
      </c>
      <c r="F226" s="40">
        <f>F227+F228</f>
        <v>0</v>
      </c>
      <c r="G226" s="40">
        <f>G227+G228</f>
        <v>0</v>
      </c>
      <c r="H226" s="402"/>
      <c r="I226" s="402"/>
    </row>
    <row r="227" spans="1:9" ht="12.75" customHeight="1" hidden="1">
      <c r="A227" s="21"/>
      <c r="B227" s="29">
        <v>3121</v>
      </c>
      <c r="C227" s="30" t="s">
        <v>76</v>
      </c>
      <c r="D227" s="375"/>
      <c r="E227" s="375"/>
      <c r="F227" s="41"/>
      <c r="G227" s="41"/>
      <c r="H227" s="402"/>
      <c r="I227" s="402"/>
    </row>
    <row r="228" spans="1:9" ht="12.75" customHeight="1" hidden="1">
      <c r="A228" s="21"/>
      <c r="B228" s="29">
        <v>3122</v>
      </c>
      <c r="C228" s="30" t="s">
        <v>77</v>
      </c>
      <c r="D228" s="375"/>
      <c r="E228" s="375"/>
      <c r="F228" s="41"/>
      <c r="G228" s="41"/>
      <c r="H228" s="402"/>
      <c r="I228" s="402"/>
    </row>
    <row r="229" spans="1:9" ht="12.75" customHeight="1" hidden="1">
      <c r="A229" s="21"/>
      <c r="B229" s="29">
        <v>3130</v>
      </c>
      <c r="C229" s="30" t="s">
        <v>78</v>
      </c>
      <c r="D229" s="374">
        <f>D230+D231</f>
        <v>0</v>
      </c>
      <c r="E229" s="374">
        <f>E230+E231</f>
        <v>0</v>
      </c>
      <c r="F229" s="40">
        <f>F230+F231</f>
        <v>0</v>
      </c>
      <c r="G229" s="40">
        <f>G230+G231</f>
        <v>0</v>
      </c>
      <c r="H229" s="402"/>
      <c r="I229" s="402"/>
    </row>
    <row r="230" spans="1:9" ht="12.75" customHeight="1" hidden="1">
      <c r="A230" s="21"/>
      <c r="B230" s="29">
        <v>3131</v>
      </c>
      <c r="C230" s="30" t="s">
        <v>79</v>
      </c>
      <c r="D230" s="375"/>
      <c r="E230" s="375"/>
      <c r="F230" s="41"/>
      <c r="G230" s="41"/>
      <c r="H230" s="402"/>
      <c r="I230" s="402"/>
    </row>
    <row r="231" spans="1:9" ht="12.75" customHeight="1" hidden="1">
      <c r="A231" s="21"/>
      <c r="B231" s="29">
        <v>3132</v>
      </c>
      <c r="C231" s="30" t="s">
        <v>80</v>
      </c>
      <c r="D231" s="375"/>
      <c r="E231" s="375"/>
      <c r="F231" s="41"/>
      <c r="G231" s="41"/>
      <c r="H231" s="402"/>
      <c r="I231" s="402"/>
    </row>
    <row r="232" spans="1:9" ht="12.75" customHeight="1" hidden="1">
      <c r="A232" s="21"/>
      <c r="B232" s="29">
        <v>3140</v>
      </c>
      <c r="C232" s="30" t="s">
        <v>81</v>
      </c>
      <c r="D232" s="374">
        <f>D233+D234+D235</f>
        <v>0</v>
      </c>
      <c r="E232" s="374">
        <f>E233+E234+E235</f>
        <v>0</v>
      </c>
      <c r="F232" s="40">
        <f>F233+F234+F235</f>
        <v>0</v>
      </c>
      <c r="G232" s="40">
        <f>G233+G234+G235</f>
        <v>0</v>
      </c>
      <c r="H232" s="402"/>
      <c r="I232" s="402"/>
    </row>
    <row r="233" spans="1:9" ht="12.75" customHeight="1" hidden="1">
      <c r="A233" s="21"/>
      <c r="B233" s="29">
        <v>3141</v>
      </c>
      <c r="C233" s="30" t="s">
        <v>82</v>
      </c>
      <c r="D233" s="375"/>
      <c r="E233" s="375"/>
      <c r="F233" s="41"/>
      <c r="G233" s="41"/>
      <c r="H233" s="402"/>
      <c r="I233" s="402"/>
    </row>
    <row r="234" spans="1:9" ht="12.75" customHeight="1" hidden="1">
      <c r="A234" s="21"/>
      <c r="B234" s="29">
        <v>3142</v>
      </c>
      <c r="C234" s="30" t="s">
        <v>83</v>
      </c>
      <c r="D234" s="375"/>
      <c r="E234" s="375"/>
      <c r="F234" s="41"/>
      <c r="G234" s="41"/>
      <c r="H234" s="402"/>
      <c r="I234" s="402"/>
    </row>
    <row r="235" spans="1:9" ht="12.75" customHeight="1" hidden="1">
      <c r="A235" s="21"/>
      <c r="B235" s="29">
        <v>3143</v>
      </c>
      <c r="C235" s="30" t="s">
        <v>84</v>
      </c>
      <c r="D235" s="375"/>
      <c r="E235" s="375"/>
      <c r="F235" s="41"/>
      <c r="G235" s="41"/>
      <c r="H235" s="402"/>
      <c r="I235" s="402"/>
    </row>
    <row r="236" spans="1:9" ht="12.75" customHeight="1" hidden="1">
      <c r="A236" s="21"/>
      <c r="B236" s="29">
        <v>3150</v>
      </c>
      <c r="C236" s="30" t="s">
        <v>85</v>
      </c>
      <c r="D236" s="375"/>
      <c r="E236" s="375"/>
      <c r="F236" s="41"/>
      <c r="G236" s="41"/>
      <c r="H236" s="402"/>
      <c r="I236" s="402"/>
    </row>
    <row r="237" spans="1:9" ht="12.75" customHeight="1" hidden="1">
      <c r="A237" s="21"/>
      <c r="B237" s="29">
        <v>3160</v>
      </c>
      <c r="C237" s="30" t="s">
        <v>86</v>
      </c>
      <c r="D237" s="375"/>
      <c r="E237" s="375"/>
      <c r="F237" s="41"/>
      <c r="G237" s="41"/>
      <c r="H237" s="402"/>
      <c r="I237" s="402"/>
    </row>
    <row r="238" spans="1:9" ht="12.75" customHeight="1" hidden="1">
      <c r="A238" s="21"/>
      <c r="B238" s="27">
        <v>3200</v>
      </c>
      <c r="C238" s="28" t="s">
        <v>87</v>
      </c>
      <c r="D238" s="374">
        <f>D239+D240+D241+D242</f>
        <v>0</v>
      </c>
      <c r="E238" s="374">
        <f>E239+E240+E241+E242</f>
        <v>0</v>
      </c>
      <c r="F238" s="40">
        <f>F239+F240+F241+F242</f>
        <v>0</v>
      </c>
      <c r="G238" s="40">
        <f>G239+G240+G241+G242</f>
        <v>0</v>
      </c>
      <c r="H238" s="402"/>
      <c r="I238" s="402"/>
    </row>
    <row r="239" spans="1:9" ht="12.75" customHeight="1" hidden="1">
      <c r="A239" s="21"/>
      <c r="B239" s="29">
        <v>3210</v>
      </c>
      <c r="C239" s="30" t="s">
        <v>88</v>
      </c>
      <c r="D239" s="375"/>
      <c r="E239" s="375"/>
      <c r="F239" s="41"/>
      <c r="G239" s="41"/>
      <c r="H239" s="402"/>
      <c r="I239" s="402"/>
    </row>
    <row r="240" spans="1:9" ht="12.75" customHeight="1" hidden="1">
      <c r="A240" s="21"/>
      <c r="B240" s="29">
        <v>3220</v>
      </c>
      <c r="C240" s="30" t="s">
        <v>89</v>
      </c>
      <c r="D240" s="375"/>
      <c r="E240" s="375"/>
      <c r="F240" s="41"/>
      <c r="G240" s="41"/>
      <c r="H240" s="402"/>
      <c r="I240" s="402"/>
    </row>
    <row r="241" spans="1:9" ht="12.75" customHeight="1" hidden="1">
      <c r="A241" s="21"/>
      <c r="B241" s="29">
        <v>3230</v>
      </c>
      <c r="C241" s="30" t="s">
        <v>90</v>
      </c>
      <c r="D241" s="375"/>
      <c r="E241" s="375"/>
      <c r="F241" s="41"/>
      <c r="G241" s="41"/>
      <c r="H241" s="402"/>
      <c r="I241" s="402"/>
    </row>
    <row r="242" spans="1:9" ht="12.75" customHeight="1" hidden="1">
      <c r="A242" s="21"/>
      <c r="B242" s="29">
        <v>3240</v>
      </c>
      <c r="C242" s="30" t="s">
        <v>91</v>
      </c>
      <c r="D242" s="375"/>
      <c r="E242" s="375"/>
      <c r="F242" s="41"/>
      <c r="G242" s="41"/>
      <c r="H242" s="402"/>
      <c r="I242" s="402"/>
    </row>
    <row r="243" spans="1:10" s="19" customFormat="1" ht="12.75">
      <c r="A243" s="7"/>
      <c r="B243" s="7"/>
      <c r="C243" s="20" t="s">
        <v>3</v>
      </c>
      <c r="D243" s="372">
        <f>D188+D223</f>
        <v>54.28999999999999</v>
      </c>
      <c r="E243" s="372">
        <f>E188+E223</f>
        <v>162</v>
      </c>
      <c r="F243" s="34">
        <f>F188+F223</f>
        <v>147.2</v>
      </c>
      <c r="G243" s="34">
        <f>G188+G223</f>
        <v>0</v>
      </c>
      <c r="H243" s="402"/>
      <c r="I243" s="402"/>
      <c r="J243" s="353"/>
    </row>
    <row r="244" spans="2:10" s="128" customFormat="1" ht="15" customHeight="1">
      <c r="B244" s="129">
        <v>1113123</v>
      </c>
      <c r="C244" s="130" t="s">
        <v>162</v>
      </c>
      <c r="D244" s="378">
        <f>D245+D280</f>
        <v>351.22999999999996</v>
      </c>
      <c r="E244" s="378">
        <f>E245+E280</f>
        <v>258.19</v>
      </c>
      <c r="F244" s="123">
        <f>F245+F280</f>
        <v>200</v>
      </c>
      <c r="G244" s="123">
        <f>G245+G280</f>
        <v>0</v>
      </c>
      <c r="H244" s="402"/>
      <c r="I244" s="402"/>
      <c r="J244" s="355"/>
    </row>
    <row r="245" spans="1:9" ht="12.75">
      <c r="A245" s="6"/>
      <c r="B245" s="27">
        <v>2000</v>
      </c>
      <c r="C245" s="28" t="s">
        <v>37</v>
      </c>
      <c r="D245" s="370">
        <f>D246+D251+D268+D271+D275+D279</f>
        <v>351.22999999999996</v>
      </c>
      <c r="E245" s="370">
        <f>E246+E251+E268+E271+E275+E279</f>
        <v>258.19</v>
      </c>
      <c r="F245" s="33">
        <f>F246+F251+F268+F271+F275+F279</f>
        <v>200</v>
      </c>
      <c r="G245" s="33">
        <f>G246+G251+G268+G271+G275+G279</f>
        <v>0</v>
      </c>
      <c r="H245" s="402"/>
      <c r="I245" s="402"/>
    </row>
    <row r="246" spans="1:9" ht="12.75" customHeight="1" hidden="1">
      <c r="A246" s="6"/>
      <c r="B246" s="29">
        <v>2100</v>
      </c>
      <c r="C246" s="30" t="s">
        <v>38</v>
      </c>
      <c r="D246" s="371">
        <f>D247+D250</f>
        <v>0</v>
      </c>
      <c r="E246" s="371">
        <f>E247+E250</f>
        <v>0</v>
      </c>
      <c r="F246" s="35">
        <f>F247+F250</f>
        <v>0</v>
      </c>
      <c r="G246" s="35">
        <f>G247+G250</f>
        <v>0</v>
      </c>
      <c r="H246" s="402"/>
      <c r="I246" s="402"/>
    </row>
    <row r="247" spans="1:9" ht="12.75" customHeight="1" hidden="1">
      <c r="A247" s="6"/>
      <c r="B247" s="29">
        <v>2110</v>
      </c>
      <c r="C247" s="30" t="s">
        <v>39</v>
      </c>
      <c r="D247" s="371">
        <f>D248+D249</f>
        <v>0</v>
      </c>
      <c r="E247" s="371">
        <f>E248+E249</f>
        <v>0</v>
      </c>
      <c r="F247" s="35">
        <f>F248+F249</f>
        <v>0</v>
      </c>
      <c r="G247" s="35">
        <f>G248+G249</f>
        <v>0</v>
      </c>
      <c r="H247" s="402"/>
      <c r="I247" s="402"/>
    </row>
    <row r="248" spans="1:9" ht="12.75" customHeight="1" hidden="1">
      <c r="A248" s="6"/>
      <c r="B248" s="29">
        <v>2111</v>
      </c>
      <c r="C248" s="30" t="s">
        <v>42</v>
      </c>
      <c r="D248" s="372"/>
      <c r="E248" s="372"/>
      <c r="F248" s="34"/>
      <c r="G248" s="34"/>
      <c r="H248" s="402"/>
      <c r="I248" s="402"/>
    </row>
    <row r="249" spans="1:9" ht="12.75" customHeight="1" hidden="1">
      <c r="A249" s="6"/>
      <c r="B249" s="29">
        <v>2112</v>
      </c>
      <c r="C249" s="30" t="s">
        <v>43</v>
      </c>
      <c r="D249" s="372"/>
      <c r="E249" s="372"/>
      <c r="F249" s="34"/>
      <c r="G249" s="34"/>
      <c r="H249" s="402"/>
      <c r="I249" s="402"/>
    </row>
    <row r="250" spans="1:9" ht="12.75" customHeight="1" hidden="1">
      <c r="A250" s="6"/>
      <c r="B250" s="29">
        <v>2120</v>
      </c>
      <c r="C250" s="30" t="s">
        <v>44</v>
      </c>
      <c r="D250" s="372"/>
      <c r="E250" s="372"/>
      <c r="F250" s="34"/>
      <c r="G250" s="34"/>
      <c r="H250" s="402"/>
      <c r="I250" s="402"/>
    </row>
    <row r="251" spans="1:9" ht="12.75">
      <c r="A251" s="6"/>
      <c r="B251" s="27">
        <v>2200</v>
      </c>
      <c r="C251" s="28" t="s">
        <v>45</v>
      </c>
      <c r="D251" s="370">
        <f>SUM(D252:D258)+D265</f>
        <v>351.22999999999996</v>
      </c>
      <c r="E251" s="370">
        <f>SUM(E252:E258)+E265</f>
        <v>258.19</v>
      </c>
      <c r="F251" s="33">
        <f>SUM(F252:F258)+F265</f>
        <v>200</v>
      </c>
      <c r="G251" s="33">
        <f>SUM(G252:G258)+G265</f>
        <v>0</v>
      </c>
      <c r="H251" s="402"/>
      <c r="I251" s="402"/>
    </row>
    <row r="252" spans="1:9" ht="12.75">
      <c r="A252" s="6"/>
      <c r="B252" s="29">
        <v>2210</v>
      </c>
      <c r="C252" s="30" t="s">
        <v>46</v>
      </c>
      <c r="D252" s="372">
        <v>267.67</v>
      </c>
      <c r="E252" s="372">
        <v>163.89</v>
      </c>
      <c r="F252" s="34">
        <v>98.3</v>
      </c>
      <c r="G252" s="34"/>
      <c r="H252" s="402"/>
      <c r="I252" s="402"/>
    </row>
    <row r="253" spans="1:9" ht="12.75" customHeight="1" hidden="1">
      <c r="A253" s="6"/>
      <c r="B253" s="29">
        <v>2220</v>
      </c>
      <c r="C253" s="30" t="s">
        <v>47</v>
      </c>
      <c r="D253" s="372">
        <v>0</v>
      </c>
      <c r="E253" s="372">
        <v>0</v>
      </c>
      <c r="F253" s="34">
        <v>0</v>
      </c>
      <c r="G253" s="34"/>
      <c r="H253" s="402"/>
      <c r="I253" s="402"/>
    </row>
    <row r="254" spans="1:9" ht="12.75" customHeight="1" hidden="1">
      <c r="A254" s="6"/>
      <c r="B254" s="29">
        <v>2230</v>
      </c>
      <c r="C254" s="30" t="s">
        <v>48</v>
      </c>
      <c r="D254" s="372">
        <v>0</v>
      </c>
      <c r="E254" s="372">
        <v>0</v>
      </c>
      <c r="F254" s="34">
        <v>0</v>
      </c>
      <c r="G254" s="34"/>
      <c r="H254" s="402"/>
      <c r="I254" s="402"/>
    </row>
    <row r="255" spans="1:9" ht="12.75">
      <c r="A255" s="6"/>
      <c r="B255" s="29">
        <v>2240</v>
      </c>
      <c r="C255" s="30" t="s">
        <v>49</v>
      </c>
      <c r="D255" s="372">
        <v>82.35</v>
      </c>
      <c r="E255" s="372">
        <v>87.2</v>
      </c>
      <c r="F255" s="34">
        <v>94.2</v>
      </c>
      <c r="G255" s="34"/>
      <c r="H255" s="402"/>
      <c r="I255" s="402"/>
    </row>
    <row r="256" spans="1:9" ht="12.75">
      <c r="A256" s="6"/>
      <c r="B256" s="29">
        <v>2250</v>
      </c>
      <c r="C256" s="30" t="s">
        <v>50</v>
      </c>
      <c r="D256" s="372">
        <v>1.21</v>
      </c>
      <c r="E256" s="372">
        <v>7.1</v>
      </c>
      <c r="F256" s="34">
        <v>7.5</v>
      </c>
      <c r="G256" s="34"/>
      <c r="H256" s="402"/>
      <c r="I256" s="402"/>
    </row>
    <row r="257" spans="1:9" ht="12.75" customHeight="1" hidden="1">
      <c r="A257" s="6"/>
      <c r="B257" s="29">
        <v>2260</v>
      </c>
      <c r="C257" s="30" t="s">
        <v>51</v>
      </c>
      <c r="D257" s="372"/>
      <c r="E257" s="372"/>
      <c r="F257" s="34"/>
      <c r="G257" s="34"/>
      <c r="H257" s="402"/>
      <c r="I257" s="402"/>
    </row>
    <row r="258" spans="1:9" ht="12.75" customHeight="1" hidden="1">
      <c r="A258" s="6"/>
      <c r="B258" s="27">
        <v>2270</v>
      </c>
      <c r="C258" s="28" t="s">
        <v>52</v>
      </c>
      <c r="D258" s="370">
        <f>D259+D260+D261+D262+D263+D264</f>
        <v>0</v>
      </c>
      <c r="E258" s="370">
        <f>E259+E260+E261+E262+E263+E264</f>
        <v>0</v>
      </c>
      <c r="F258" s="33">
        <f>F259+F260+F261+F262+F263+F264</f>
        <v>0</v>
      </c>
      <c r="G258" s="33">
        <f>G259+G260+G261+G262+G263+G264</f>
        <v>0</v>
      </c>
      <c r="H258" s="402"/>
      <c r="I258" s="402"/>
    </row>
    <row r="259" spans="1:9" ht="12.75" customHeight="1" hidden="1">
      <c r="A259" s="6"/>
      <c r="B259" s="29">
        <v>2271</v>
      </c>
      <c r="C259" s="30" t="s">
        <v>53</v>
      </c>
      <c r="D259" s="372"/>
      <c r="E259" s="372"/>
      <c r="F259" s="34"/>
      <c r="G259" s="34"/>
      <c r="H259" s="402"/>
      <c r="I259" s="402"/>
    </row>
    <row r="260" spans="1:9" ht="12.75" customHeight="1" hidden="1">
      <c r="A260" s="6"/>
      <c r="B260" s="29">
        <v>2272</v>
      </c>
      <c r="C260" s="30" t="s">
        <v>54</v>
      </c>
      <c r="D260" s="372"/>
      <c r="E260" s="372"/>
      <c r="F260" s="34"/>
      <c r="G260" s="34"/>
      <c r="H260" s="402"/>
      <c r="I260" s="402"/>
    </row>
    <row r="261" spans="1:9" ht="12.75" customHeight="1" hidden="1">
      <c r="A261" s="6"/>
      <c r="B261" s="29">
        <v>2273</v>
      </c>
      <c r="C261" s="30" t="s">
        <v>55</v>
      </c>
      <c r="D261" s="372"/>
      <c r="E261" s="372"/>
      <c r="F261" s="34"/>
      <c r="G261" s="34"/>
      <c r="H261" s="402"/>
      <c r="I261" s="402"/>
    </row>
    <row r="262" spans="1:9" ht="12.75" customHeight="1" hidden="1">
      <c r="A262" s="6"/>
      <c r="B262" s="29">
        <v>2274</v>
      </c>
      <c r="C262" s="30" t="s">
        <v>56</v>
      </c>
      <c r="D262" s="372"/>
      <c r="E262" s="372"/>
      <c r="F262" s="34"/>
      <c r="G262" s="34"/>
      <c r="H262" s="402"/>
      <c r="I262" s="402"/>
    </row>
    <row r="263" spans="1:9" ht="12.75" customHeight="1" hidden="1">
      <c r="A263" s="6"/>
      <c r="B263" s="29">
        <v>2275</v>
      </c>
      <c r="C263" s="30" t="s">
        <v>57</v>
      </c>
      <c r="D263" s="372"/>
      <c r="E263" s="372"/>
      <c r="F263" s="34"/>
      <c r="G263" s="34"/>
      <c r="H263" s="402"/>
      <c r="I263" s="402"/>
    </row>
    <row r="264" spans="1:9" ht="12.75" customHeight="1" hidden="1">
      <c r="A264" s="6"/>
      <c r="B264" s="31">
        <v>2276</v>
      </c>
      <c r="C264" s="32" t="s">
        <v>58</v>
      </c>
      <c r="D264" s="372"/>
      <c r="E264" s="372"/>
      <c r="F264" s="34"/>
      <c r="G264" s="34"/>
      <c r="H264" s="402"/>
      <c r="I264" s="402"/>
    </row>
    <row r="265" spans="1:9" ht="12.75" customHeight="1" hidden="1">
      <c r="A265" s="6"/>
      <c r="B265" s="27">
        <v>2280</v>
      </c>
      <c r="C265" s="28" t="s">
        <v>59</v>
      </c>
      <c r="D265" s="370">
        <f>D266+D267</f>
        <v>0</v>
      </c>
      <c r="E265" s="370">
        <f>E266+E267</f>
        <v>0</v>
      </c>
      <c r="F265" s="33">
        <f>F266+F267</f>
        <v>0</v>
      </c>
      <c r="G265" s="33">
        <f>G266+G267</f>
        <v>0</v>
      </c>
      <c r="H265" s="402"/>
      <c r="I265" s="402"/>
    </row>
    <row r="266" spans="1:9" ht="12.75" customHeight="1" hidden="1">
      <c r="A266" s="6"/>
      <c r="B266" s="29">
        <v>2281</v>
      </c>
      <c r="C266" s="30" t="s">
        <v>60</v>
      </c>
      <c r="D266" s="372"/>
      <c r="E266" s="372"/>
      <c r="F266" s="34"/>
      <c r="G266" s="34"/>
      <c r="H266" s="402"/>
      <c r="I266" s="402"/>
    </row>
    <row r="267" spans="1:9" ht="12.75" customHeight="1" hidden="1">
      <c r="A267" s="6"/>
      <c r="B267" s="29">
        <v>2282</v>
      </c>
      <c r="C267" s="30" t="s">
        <v>61</v>
      </c>
      <c r="D267" s="372"/>
      <c r="E267" s="372"/>
      <c r="F267" s="34"/>
      <c r="G267" s="34"/>
      <c r="H267" s="402"/>
      <c r="I267" s="402"/>
    </row>
    <row r="268" spans="1:9" ht="12.75" customHeight="1" hidden="1">
      <c r="A268" s="6"/>
      <c r="B268" s="27">
        <v>2400</v>
      </c>
      <c r="C268" s="28" t="s">
        <v>62</v>
      </c>
      <c r="D268" s="372">
        <f>D269+D270</f>
        <v>0</v>
      </c>
      <c r="E268" s="372">
        <f>E269+E270</f>
        <v>0</v>
      </c>
      <c r="F268" s="34">
        <f>F269+F270</f>
        <v>0</v>
      </c>
      <c r="G268" s="34">
        <f>G269+G270</f>
        <v>0</v>
      </c>
      <c r="H268" s="402"/>
      <c r="I268" s="402"/>
    </row>
    <row r="269" spans="1:9" ht="12.75" customHeight="1" hidden="1">
      <c r="A269" s="6"/>
      <c r="B269" s="29">
        <v>2410</v>
      </c>
      <c r="C269" s="30" t="s">
        <v>63</v>
      </c>
      <c r="D269" s="372"/>
      <c r="E269" s="372"/>
      <c r="F269" s="34"/>
      <c r="G269" s="34"/>
      <c r="H269" s="402"/>
      <c r="I269" s="402"/>
    </row>
    <row r="270" spans="1:9" ht="12.75" customHeight="1" hidden="1">
      <c r="A270" s="6"/>
      <c r="B270" s="29">
        <v>2420</v>
      </c>
      <c r="C270" s="30" t="s">
        <v>64</v>
      </c>
      <c r="D270" s="372"/>
      <c r="E270" s="372"/>
      <c r="F270" s="34"/>
      <c r="G270" s="34"/>
      <c r="H270" s="402"/>
      <c r="I270" s="402"/>
    </row>
    <row r="271" spans="1:9" ht="12.75" customHeight="1" hidden="1">
      <c r="A271" s="6"/>
      <c r="B271" s="27">
        <v>2600</v>
      </c>
      <c r="C271" s="28" t="s">
        <v>65</v>
      </c>
      <c r="D271" s="370">
        <f>D272+D273+D274</f>
        <v>0</v>
      </c>
      <c r="E271" s="370">
        <f>E272+E273+E274</f>
        <v>0</v>
      </c>
      <c r="F271" s="33">
        <f>F272+F273+F274</f>
        <v>0</v>
      </c>
      <c r="G271" s="33">
        <f>G272+G273+G274</f>
        <v>0</v>
      </c>
      <c r="H271" s="402"/>
      <c r="I271" s="402"/>
    </row>
    <row r="272" spans="1:9" ht="12.75" customHeight="1" hidden="1">
      <c r="A272" s="6"/>
      <c r="B272" s="29">
        <v>2610</v>
      </c>
      <c r="C272" s="30" t="s">
        <v>66</v>
      </c>
      <c r="D272" s="372"/>
      <c r="E272" s="372"/>
      <c r="F272" s="34"/>
      <c r="G272" s="34"/>
      <c r="H272" s="402"/>
      <c r="I272" s="402"/>
    </row>
    <row r="273" spans="1:9" ht="12.75" customHeight="1" hidden="1">
      <c r="A273" s="6"/>
      <c r="B273" s="29">
        <v>2620</v>
      </c>
      <c r="C273" s="30" t="s">
        <v>67</v>
      </c>
      <c r="D273" s="372"/>
      <c r="E273" s="372"/>
      <c r="F273" s="34"/>
      <c r="G273" s="34"/>
      <c r="H273" s="402"/>
      <c r="I273" s="402"/>
    </row>
    <row r="274" spans="1:9" ht="12.75" customHeight="1" hidden="1">
      <c r="A274" s="6"/>
      <c r="B274" s="29">
        <v>2630</v>
      </c>
      <c r="C274" s="30" t="s">
        <v>68</v>
      </c>
      <c r="D274" s="372"/>
      <c r="E274" s="372"/>
      <c r="F274" s="34"/>
      <c r="G274" s="34"/>
      <c r="H274" s="402"/>
      <c r="I274" s="402"/>
    </row>
    <row r="275" spans="1:9" ht="12.75" customHeight="1" hidden="1">
      <c r="A275" s="6"/>
      <c r="B275" s="27">
        <v>2700</v>
      </c>
      <c r="C275" s="28" t="s">
        <v>69</v>
      </c>
      <c r="D275" s="370">
        <f>D276+D277+D278</f>
        <v>0</v>
      </c>
      <c r="E275" s="370">
        <f>E276+E277+E278</f>
        <v>0</v>
      </c>
      <c r="F275" s="33">
        <f>F276+F277+F278</f>
        <v>0</v>
      </c>
      <c r="G275" s="33">
        <f>G276+G277+G278</f>
        <v>0</v>
      </c>
      <c r="H275" s="402"/>
      <c r="I275" s="402"/>
    </row>
    <row r="276" spans="1:9" ht="12.75" customHeight="1" hidden="1">
      <c r="A276" s="6"/>
      <c r="B276" s="29">
        <v>2710</v>
      </c>
      <c r="C276" s="30" t="s">
        <v>70</v>
      </c>
      <c r="D276" s="373"/>
      <c r="E276" s="373"/>
      <c r="F276" s="42"/>
      <c r="G276" s="42"/>
      <c r="H276" s="402"/>
      <c r="I276" s="402"/>
    </row>
    <row r="277" spans="1:9" ht="12.75" customHeight="1" hidden="1">
      <c r="A277" s="6"/>
      <c r="B277" s="29">
        <v>2720</v>
      </c>
      <c r="C277" s="30" t="s">
        <v>71</v>
      </c>
      <c r="D277" s="373"/>
      <c r="E277" s="373"/>
      <c r="F277" s="34"/>
      <c r="G277" s="42"/>
      <c r="H277" s="402"/>
      <c r="I277" s="402"/>
    </row>
    <row r="278" spans="1:9" ht="12.75" customHeight="1" hidden="1">
      <c r="A278" s="6"/>
      <c r="B278" s="29">
        <v>2730</v>
      </c>
      <c r="C278" s="30" t="s">
        <v>72</v>
      </c>
      <c r="D278" s="373"/>
      <c r="E278" s="373"/>
      <c r="F278" s="34"/>
      <c r="G278" s="42"/>
      <c r="H278" s="402"/>
      <c r="I278" s="402"/>
    </row>
    <row r="279" spans="1:9" ht="12.75" customHeight="1" hidden="1">
      <c r="A279" s="6"/>
      <c r="B279" s="27">
        <v>2800</v>
      </c>
      <c r="C279" s="28" t="s">
        <v>73</v>
      </c>
      <c r="D279" s="373"/>
      <c r="E279" s="372"/>
      <c r="F279" s="34"/>
      <c r="G279" s="42"/>
      <c r="H279" s="402"/>
      <c r="I279" s="402"/>
    </row>
    <row r="280" spans="1:9" ht="12.75" customHeight="1" hidden="1">
      <c r="A280" s="21"/>
      <c r="B280" s="27">
        <v>3000</v>
      </c>
      <c r="C280" s="28" t="s">
        <v>40</v>
      </c>
      <c r="D280" s="374">
        <f>D281+D295</f>
        <v>0</v>
      </c>
      <c r="E280" s="374">
        <f>E281+E295</f>
        <v>0</v>
      </c>
      <c r="F280" s="40">
        <f>F281+F295</f>
        <v>0</v>
      </c>
      <c r="G280" s="40">
        <f>G281+G295</f>
        <v>0</v>
      </c>
      <c r="H280" s="402"/>
      <c r="I280" s="402"/>
    </row>
    <row r="281" spans="1:9" ht="12.75" customHeight="1" hidden="1">
      <c r="A281" s="21"/>
      <c r="B281" s="27">
        <v>3100</v>
      </c>
      <c r="C281" s="28" t="s">
        <v>41</v>
      </c>
      <c r="D281" s="374">
        <f>D282+D283+D286+D289+D293+D294+D295</f>
        <v>0</v>
      </c>
      <c r="E281" s="374">
        <f>E282+E283+E286+E289+E293+E294+E295</f>
        <v>0</v>
      </c>
      <c r="F281" s="40">
        <f>F282+F283+F286+F289+F293+F294+F295</f>
        <v>0</v>
      </c>
      <c r="G281" s="40">
        <f>G282+G283+G286+G289+G293+G294+G295</f>
        <v>0</v>
      </c>
      <c r="H281" s="402"/>
      <c r="I281" s="402"/>
    </row>
    <row r="282" spans="1:9" ht="12.75" customHeight="1" hidden="1">
      <c r="A282" s="21"/>
      <c r="B282" s="29">
        <v>3110</v>
      </c>
      <c r="C282" s="30" t="s">
        <v>74</v>
      </c>
      <c r="D282" s="375"/>
      <c r="E282" s="375"/>
      <c r="F282" s="41"/>
      <c r="G282" s="41"/>
      <c r="H282" s="402"/>
      <c r="I282" s="402"/>
    </row>
    <row r="283" spans="1:9" ht="12.75" customHeight="1" hidden="1">
      <c r="A283" s="21"/>
      <c r="B283" s="29">
        <v>3120</v>
      </c>
      <c r="C283" s="30" t="s">
        <v>75</v>
      </c>
      <c r="D283" s="374">
        <f>D284+D285</f>
        <v>0</v>
      </c>
      <c r="E283" s="374">
        <f>E284+E285</f>
        <v>0</v>
      </c>
      <c r="F283" s="40">
        <f>F284+F285</f>
        <v>0</v>
      </c>
      <c r="G283" s="40">
        <f>G284+G285</f>
        <v>0</v>
      </c>
      <c r="H283" s="402"/>
      <c r="I283" s="402"/>
    </row>
    <row r="284" spans="1:9" ht="12.75" customHeight="1" hidden="1">
      <c r="A284" s="21"/>
      <c r="B284" s="29">
        <v>3121</v>
      </c>
      <c r="C284" s="30" t="s">
        <v>76</v>
      </c>
      <c r="D284" s="375"/>
      <c r="E284" s="375"/>
      <c r="F284" s="41"/>
      <c r="G284" s="41"/>
      <c r="H284" s="402"/>
      <c r="I284" s="402"/>
    </row>
    <row r="285" spans="1:9" ht="12.75" customHeight="1" hidden="1">
      <c r="A285" s="21"/>
      <c r="B285" s="29">
        <v>3122</v>
      </c>
      <c r="C285" s="30" t="s">
        <v>77</v>
      </c>
      <c r="D285" s="375"/>
      <c r="E285" s="375"/>
      <c r="F285" s="41"/>
      <c r="G285" s="41"/>
      <c r="H285" s="402"/>
      <c r="I285" s="402"/>
    </row>
    <row r="286" spans="1:9" ht="12.75" customHeight="1" hidden="1">
      <c r="A286" s="21"/>
      <c r="B286" s="29">
        <v>3130</v>
      </c>
      <c r="C286" s="30" t="s">
        <v>78</v>
      </c>
      <c r="D286" s="374">
        <f>D287+D288</f>
        <v>0</v>
      </c>
      <c r="E286" s="374">
        <f>E287+E288</f>
        <v>0</v>
      </c>
      <c r="F286" s="40">
        <f>F287+F288</f>
        <v>0</v>
      </c>
      <c r="G286" s="40">
        <f>G287+G288</f>
        <v>0</v>
      </c>
      <c r="H286" s="402"/>
      <c r="I286" s="402"/>
    </row>
    <row r="287" spans="1:9" ht="12.75" customHeight="1" hidden="1">
      <c r="A287" s="21"/>
      <c r="B287" s="29">
        <v>3131</v>
      </c>
      <c r="C287" s="30" t="s">
        <v>79</v>
      </c>
      <c r="D287" s="375"/>
      <c r="E287" s="375"/>
      <c r="F287" s="41"/>
      <c r="G287" s="41"/>
      <c r="H287" s="402"/>
      <c r="I287" s="402"/>
    </row>
    <row r="288" spans="1:9" ht="12.75" customHeight="1" hidden="1">
      <c r="A288" s="21"/>
      <c r="B288" s="29">
        <v>3132</v>
      </c>
      <c r="C288" s="30" t="s">
        <v>80</v>
      </c>
      <c r="D288" s="375"/>
      <c r="E288" s="375"/>
      <c r="F288" s="41"/>
      <c r="G288" s="41"/>
      <c r="H288" s="402"/>
      <c r="I288" s="402"/>
    </row>
    <row r="289" spans="1:9" ht="12.75" customHeight="1" hidden="1">
      <c r="A289" s="21"/>
      <c r="B289" s="29">
        <v>3140</v>
      </c>
      <c r="C289" s="30" t="s">
        <v>81</v>
      </c>
      <c r="D289" s="374">
        <f>D290+D291+D292</f>
        <v>0</v>
      </c>
      <c r="E289" s="374">
        <f>E290+E291+E292</f>
        <v>0</v>
      </c>
      <c r="F289" s="40">
        <f>F290+F291+F292</f>
        <v>0</v>
      </c>
      <c r="G289" s="40">
        <f>G290+G291+G292</f>
        <v>0</v>
      </c>
      <c r="H289" s="402"/>
      <c r="I289" s="402"/>
    </row>
    <row r="290" spans="1:9" ht="12.75" customHeight="1" hidden="1">
      <c r="A290" s="21"/>
      <c r="B290" s="29">
        <v>3141</v>
      </c>
      <c r="C290" s="30" t="s">
        <v>82</v>
      </c>
      <c r="D290" s="375"/>
      <c r="E290" s="375"/>
      <c r="F290" s="41"/>
      <c r="G290" s="41"/>
      <c r="H290" s="402"/>
      <c r="I290" s="402"/>
    </row>
    <row r="291" spans="1:9" ht="12.75" customHeight="1" hidden="1">
      <c r="A291" s="21"/>
      <c r="B291" s="29">
        <v>3142</v>
      </c>
      <c r="C291" s="30" t="s">
        <v>83</v>
      </c>
      <c r="D291" s="375"/>
      <c r="E291" s="375"/>
      <c r="F291" s="41"/>
      <c r="G291" s="41"/>
      <c r="H291" s="402"/>
      <c r="I291" s="402"/>
    </row>
    <row r="292" spans="1:9" ht="12.75" customHeight="1" hidden="1">
      <c r="A292" s="21"/>
      <c r="B292" s="29">
        <v>3143</v>
      </c>
      <c r="C292" s="30" t="s">
        <v>84</v>
      </c>
      <c r="D292" s="375"/>
      <c r="E292" s="375"/>
      <c r="F292" s="41"/>
      <c r="G292" s="41"/>
      <c r="H292" s="402"/>
      <c r="I292" s="402"/>
    </row>
    <row r="293" spans="1:9" ht="12.75" customHeight="1" hidden="1">
      <c r="A293" s="21"/>
      <c r="B293" s="29">
        <v>3150</v>
      </c>
      <c r="C293" s="30" t="s">
        <v>85</v>
      </c>
      <c r="D293" s="375"/>
      <c r="E293" s="375"/>
      <c r="F293" s="41"/>
      <c r="G293" s="41"/>
      <c r="H293" s="402"/>
      <c r="I293" s="402"/>
    </row>
    <row r="294" spans="1:9" ht="12.75" customHeight="1" hidden="1">
      <c r="A294" s="21"/>
      <c r="B294" s="29">
        <v>3160</v>
      </c>
      <c r="C294" s="30" t="s">
        <v>86</v>
      </c>
      <c r="D294" s="375"/>
      <c r="E294" s="375"/>
      <c r="F294" s="41"/>
      <c r="G294" s="41"/>
      <c r="H294" s="402"/>
      <c r="I294" s="402"/>
    </row>
    <row r="295" spans="1:9" ht="12.75" customHeight="1" hidden="1">
      <c r="A295" s="21"/>
      <c r="B295" s="27">
        <v>3200</v>
      </c>
      <c r="C295" s="28" t="s">
        <v>87</v>
      </c>
      <c r="D295" s="374">
        <f>D296+D297+D298+D299</f>
        <v>0</v>
      </c>
      <c r="E295" s="374">
        <f>E296+E297+E298+E299</f>
        <v>0</v>
      </c>
      <c r="F295" s="40">
        <f>F296+F297+F298+F299</f>
        <v>0</v>
      </c>
      <c r="G295" s="40">
        <f>G296+G297+G298+G299</f>
        <v>0</v>
      </c>
      <c r="H295" s="402"/>
      <c r="I295" s="402"/>
    </row>
    <row r="296" spans="1:9" ht="12.75" customHeight="1" hidden="1">
      <c r="A296" s="21"/>
      <c r="B296" s="29">
        <v>3210</v>
      </c>
      <c r="C296" s="30" t="s">
        <v>88</v>
      </c>
      <c r="D296" s="375"/>
      <c r="E296" s="375"/>
      <c r="F296" s="41"/>
      <c r="G296" s="41"/>
      <c r="H296" s="402"/>
      <c r="I296" s="402"/>
    </row>
    <row r="297" spans="1:9" ht="12.75" customHeight="1" hidden="1">
      <c r="A297" s="21"/>
      <c r="B297" s="29">
        <v>3220</v>
      </c>
      <c r="C297" s="30" t="s">
        <v>89</v>
      </c>
      <c r="D297" s="375"/>
      <c r="E297" s="375"/>
      <c r="F297" s="41"/>
      <c r="G297" s="41"/>
      <c r="H297" s="402"/>
      <c r="I297" s="402"/>
    </row>
    <row r="298" spans="1:9" ht="12.75" customHeight="1" hidden="1">
      <c r="A298" s="21"/>
      <c r="B298" s="29">
        <v>3230</v>
      </c>
      <c r="C298" s="30" t="s">
        <v>90</v>
      </c>
      <c r="D298" s="375"/>
      <c r="E298" s="375"/>
      <c r="F298" s="41"/>
      <c r="G298" s="41"/>
      <c r="H298" s="402"/>
      <c r="I298" s="402"/>
    </row>
    <row r="299" spans="1:9" ht="12.75" customHeight="1" hidden="1">
      <c r="A299" s="21"/>
      <c r="B299" s="29">
        <v>3240</v>
      </c>
      <c r="C299" s="30" t="s">
        <v>91</v>
      </c>
      <c r="D299" s="375"/>
      <c r="E299" s="375"/>
      <c r="F299" s="41"/>
      <c r="G299" s="41"/>
      <c r="H299" s="402"/>
      <c r="I299" s="402"/>
    </row>
    <row r="300" spans="1:10" s="19" customFormat="1" ht="12.75">
      <c r="A300" s="7"/>
      <c r="B300" s="7"/>
      <c r="C300" s="20" t="s">
        <v>3</v>
      </c>
      <c r="D300" s="372">
        <f>D245+D280</f>
        <v>351.22999999999996</v>
      </c>
      <c r="E300" s="372">
        <f>E245+E280</f>
        <v>258.19</v>
      </c>
      <c r="F300" s="34">
        <f>F245+F280</f>
        <v>200</v>
      </c>
      <c r="G300" s="34">
        <f>G245+G280</f>
        <v>0</v>
      </c>
      <c r="H300" s="402"/>
      <c r="I300" s="402"/>
      <c r="J300" s="353"/>
    </row>
    <row r="301" spans="2:10" s="37" customFormat="1" ht="12.75">
      <c r="B301" s="132">
        <v>1113130</v>
      </c>
      <c r="C301" s="134" t="s">
        <v>479</v>
      </c>
      <c r="D301" s="376">
        <f>D302+D359</f>
        <v>3412.67</v>
      </c>
      <c r="E301" s="376">
        <f>E302+E359</f>
        <v>7232.200000000001</v>
      </c>
      <c r="F301" s="138">
        <f>F302+F359</f>
        <v>4703.5</v>
      </c>
      <c r="G301" s="138">
        <f>G302+G359</f>
        <v>3128</v>
      </c>
      <c r="H301" s="402"/>
      <c r="I301" s="402"/>
      <c r="J301" s="350"/>
    </row>
    <row r="302" spans="2:10" s="131" customFormat="1" ht="26.25">
      <c r="B302" s="133">
        <v>1113131</v>
      </c>
      <c r="C302" s="135" t="s">
        <v>170</v>
      </c>
      <c r="D302" s="378">
        <f>D303+D338</f>
        <v>1128.47</v>
      </c>
      <c r="E302" s="378">
        <f>E303+E338</f>
        <v>1480.4</v>
      </c>
      <c r="F302" s="123">
        <f>F303+F338</f>
        <v>1703.6000000000001</v>
      </c>
      <c r="G302" s="123">
        <f>G303+G338</f>
        <v>0</v>
      </c>
      <c r="H302" s="402"/>
      <c r="I302" s="402"/>
      <c r="J302" s="355"/>
    </row>
    <row r="303" spans="1:9" ht="12.75">
      <c r="A303" s="6"/>
      <c r="B303" s="27">
        <v>2000</v>
      </c>
      <c r="C303" s="28" t="s">
        <v>37</v>
      </c>
      <c r="D303" s="370">
        <f>D304+D309+D326+D329+D333+D337</f>
        <v>1128.47</v>
      </c>
      <c r="E303" s="370">
        <f>E304+E309+E326+E329+E333+E337</f>
        <v>1480.4</v>
      </c>
      <c r="F303" s="33">
        <f>F304+F309+F326+F329+F333+F337</f>
        <v>1703.6000000000001</v>
      </c>
      <c r="G303" s="33">
        <f>G304+G309+G326+G329+G333+G337</f>
        <v>0</v>
      </c>
      <c r="H303" s="402"/>
      <c r="I303" s="402"/>
    </row>
    <row r="304" spans="1:9" ht="12.75" customHeight="1" hidden="1">
      <c r="A304" s="6"/>
      <c r="B304" s="29">
        <v>2100</v>
      </c>
      <c r="C304" s="30" t="s">
        <v>38</v>
      </c>
      <c r="D304" s="371">
        <f>D305+D308</f>
        <v>0</v>
      </c>
      <c r="E304" s="371">
        <f>E305+E308</f>
        <v>0</v>
      </c>
      <c r="F304" s="35">
        <f>F305+F308</f>
        <v>0</v>
      </c>
      <c r="G304" s="35">
        <f>G305+G308</f>
        <v>0</v>
      </c>
      <c r="H304" s="402"/>
      <c r="I304" s="402"/>
    </row>
    <row r="305" spans="1:9" ht="12.75" customHeight="1" hidden="1">
      <c r="A305" s="6"/>
      <c r="B305" s="29">
        <v>2110</v>
      </c>
      <c r="C305" s="30" t="s">
        <v>39</v>
      </c>
      <c r="D305" s="371">
        <f>D306+D307</f>
        <v>0</v>
      </c>
      <c r="E305" s="371">
        <f>E306+E307</f>
        <v>0</v>
      </c>
      <c r="F305" s="35">
        <f>F306+F307</f>
        <v>0</v>
      </c>
      <c r="G305" s="35">
        <f>G306+G307</f>
        <v>0</v>
      </c>
      <c r="H305" s="402"/>
      <c r="I305" s="402"/>
    </row>
    <row r="306" spans="1:9" ht="12.75" customHeight="1" hidden="1">
      <c r="A306" s="6"/>
      <c r="B306" s="29">
        <v>2111</v>
      </c>
      <c r="C306" s="30" t="s">
        <v>42</v>
      </c>
      <c r="D306" s="372"/>
      <c r="E306" s="372"/>
      <c r="F306" s="34"/>
      <c r="G306" s="34"/>
      <c r="H306" s="402"/>
      <c r="I306" s="402"/>
    </row>
    <row r="307" spans="1:9" ht="12.75" customHeight="1" hidden="1">
      <c r="A307" s="6"/>
      <c r="B307" s="29">
        <v>2112</v>
      </c>
      <c r="C307" s="30" t="s">
        <v>43</v>
      </c>
      <c r="D307" s="372"/>
      <c r="E307" s="372"/>
      <c r="F307" s="34"/>
      <c r="G307" s="34"/>
      <c r="H307" s="402"/>
      <c r="I307" s="402"/>
    </row>
    <row r="308" spans="1:9" ht="12.75" customHeight="1" hidden="1">
      <c r="A308" s="6"/>
      <c r="B308" s="29">
        <v>2120</v>
      </c>
      <c r="C308" s="30" t="s">
        <v>44</v>
      </c>
      <c r="D308" s="372"/>
      <c r="E308" s="372"/>
      <c r="F308" s="34"/>
      <c r="G308" s="34"/>
      <c r="H308" s="402"/>
      <c r="I308" s="402"/>
    </row>
    <row r="309" spans="1:9" ht="12.75">
      <c r="A309" s="6"/>
      <c r="B309" s="27">
        <v>2200</v>
      </c>
      <c r="C309" s="28" t="s">
        <v>45</v>
      </c>
      <c r="D309" s="370">
        <f>SUM(D310:D316)+D323</f>
        <v>1128.47</v>
      </c>
      <c r="E309" s="370">
        <f>SUM(E310:E316)+E323</f>
        <v>1480.4</v>
      </c>
      <c r="F309" s="33">
        <f>SUM(F310:F316)+F323</f>
        <v>1703.6000000000001</v>
      </c>
      <c r="G309" s="33">
        <f>SUM(G310:G316)+G323</f>
        <v>0</v>
      </c>
      <c r="H309" s="402"/>
      <c r="I309" s="402"/>
    </row>
    <row r="310" spans="1:9" ht="12.75">
      <c r="A310" s="6"/>
      <c r="B310" s="29">
        <v>2210</v>
      </c>
      <c r="C310" s="30" t="s">
        <v>46</v>
      </c>
      <c r="D310" s="372">
        <v>281.36</v>
      </c>
      <c r="E310" s="372">
        <v>387.7</v>
      </c>
      <c r="F310" s="34">
        <v>347.7</v>
      </c>
      <c r="G310" s="34"/>
      <c r="H310" s="402"/>
      <c r="I310" s="402"/>
    </row>
    <row r="311" spans="1:9" ht="12.75" customHeight="1" hidden="1">
      <c r="A311" s="6"/>
      <c r="B311" s="29">
        <v>2220</v>
      </c>
      <c r="C311" s="30" t="s">
        <v>47</v>
      </c>
      <c r="D311" s="372">
        <v>0</v>
      </c>
      <c r="E311" s="372">
        <v>0</v>
      </c>
      <c r="F311" s="34">
        <v>0</v>
      </c>
      <c r="G311" s="34"/>
      <c r="H311" s="402"/>
      <c r="I311" s="402"/>
    </row>
    <row r="312" spans="1:9" ht="12.75" customHeight="1" hidden="1">
      <c r="A312" s="6"/>
      <c r="B312" s="29">
        <v>2230</v>
      </c>
      <c r="C312" s="30" t="s">
        <v>48</v>
      </c>
      <c r="D312" s="372">
        <v>0</v>
      </c>
      <c r="E312" s="372">
        <v>0</v>
      </c>
      <c r="F312" s="34">
        <v>0</v>
      </c>
      <c r="G312" s="34"/>
      <c r="H312" s="402"/>
      <c r="I312" s="402"/>
    </row>
    <row r="313" spans="1:9" ht="12.75">
      <c r="A313" s="6"/>
      <c r="B313" s="29">
        <v>2240</v>
      </c>
      <c r="C313" s="30" t="s">
        <v>49</v>
      </c>
      <c r="D313" s="372">
        <v>810.32</v>
      </c>
      <c r="E313" s="372">
        <v>1079.7</v>
      </c>
      <c r="F313" s="34">
        <v>1355.9</v>
      </c>
      <c r="G313" s="34"/>
      <c r="H313" s="402"/>
      <c r="I313" s="402"/>
    </row>
    <row r="314" spans="1:9" ht="12.75">
      <c r="A314" s="6"/>
      <c r="B314" s="29">
        <v>2250</v>
      </c>
      <c r="C314" s="30" t="s">
        <v>50</v>
      </c>
      <c r="D314" s="372">
        <v>36.79</v>
      </c>
      <c r="E314" s="372">
        <v>13</v>
      </c>
      <c r="F314" s="34">
        <v>0</v>
      </c>
      <c r="G314" s="34"/>
      <c r="H314" s="402"/>
      <c r="I314" s="402"/>
    </row>
    <row r="315" spans="1:9" ht="12.75" customHeight="1" hidden="1">
      <c r="A315" s="6"/>
      <c r="B315" s="29">
        <v>2260</v>
      </c>
      <c r="C315" s="30" t="s">
        <v>51</v>
      </c>
      <c r="D315" s="372"/>
      <c r="E315" s="372"/>
      <c r="F315" s="34"/>
      <c r="G315" s="34"/>
      <c r="H315" s="402"/>
      <c r="I315" s="402"/>
    </row>
    <row r="316" spans="1:9" ht="12.75" customHeight="1" hidden="1">
      <c r="A316" s="6"/>
      <c r="B316" s="27">
        <v>2270</v>
      </c>
      <c r="C316" s="28" t="s">
        <v>52</v>
      </c>
      <c r="D316" s="370">
        <f>D317+D318+D319+D320+D321+D322</f>
        <v>0</v>
      </c>
      <c r="E316" s="370">
        <f>E317+E318+E319+E320+E321+E322</f>
        <v>0</v>
      </c>
      <c r="F316" s="33">
        <f>F317+F318+F319+F320+F321+F322</f>
        <v>0</v>
      </c>
      <c r="G316" s="33">
        <f>G317+G318+G319+G320+G321+G322</f>
        <v>0</v>
      </c>
      <c r="H316" s="402"/>
      <c r="I316" s="402"/>
    </row>
    <row r="317" spans="1:9" ht="12.75" customHeight="1" hidden="1">
      <c r="A317" s="6"/>
      <c r="B317" s="29">
        <v>2271</v>
      </c>
      <c r="C317" s="30" t="s">
        <v>53</v>
      </c>
      <c r="D317" s="372"/>
      <c r="E317" s="372"/>
      <c r="F317" s="34"/>
      <c r="G317" s="34"/>
      <c r="H317" s="402"/>
      <c r="I317" s="402"/>
    </row>
    <row r="318" spans="1:9" ht="12.75" customHeight="1" hidden="1">
      <c r="A318" s="6"/>
      <c r="B318" s="29">
        <v>2272</v>
      </c>
      <c r="C318" s="30" t="s">
        <v>54</v>
      </c>
      <c r="D318" s="372"/>
      <c r="E318" s="372"/>
      <c r="F318" s="34"/>
      <c r="G318" s="34"/>
      <c r="H318" s="402"/>
      <c r="I318" s="402"/>
    </row>
    <row r="319" spans="1:9" ht="12.75" customHeight="1" hidden="1">
      <c r="A319" s="6"/>
      <c r="B319" s="29">
        <v>2273</v>
      </c>
      <c r="C319" s="30" t="s">
        <v>55</v>
      </c>
      <c r="D319" s="372"/>
      <c r="E319" s="372"/>
      <c r="F319" s="34"/>
      <c r="G319" s="34"/>
      <c r="H319" s="402"/>
      <c r="I319" s="402"/>
    </row>
    <row r="320" spans="1:9" ht="12.75" customHeight="1" hidden="1">
      <c r="A320" s="6"/>
      <c r="B320" s="29">
        <v>2274</v>
      </c>
      <c r="C320" s="30" t="s">
        <v>56</v>
      </c>
      <c r="D320" s="372"/>
      <c r="E320" s="372"/>
      <c r="F320" s="34"/>
      <c r="G320" s="34"/>
      <c r="H320" s="402"/>
      <c r="I320" s="402"/>
    </row>
    <row r="321" spans="1:9" ht="12.75" customHeight="1" hidden="1">
      <c r="A321" s="6"/>
      <c r="B321" s="29">
        <v>2275</v>
      </c>
      <c r="C321" s="30" t="s">
        <v>57</v>
      </c>
      <c r="D321" s="372"/>
      <c r="E321" s="372"/>
      <c r="F321" s="34"/>
      <c r="G321" s="34"/>
      <c r="H321" s="402"/>
      <c r="I321" s="402"/>
    </row>
    <row r="322" spans="1:9" ht="12.75" customHeight="1" hidden="1">
      <c r="A322" s="6"/>
      <c r="B322" s="31">
        <v>2276</v>
      </c>
      <c r="C322" s="32" t="s">
        <v>58</v>
      </c>
      <c r="D322" s="372"/>
      <c r="E322" s="372"/>
      <c r="F322" s="34"/>
      <c r="G322" s="34"/>
      <c r="H322" s="402"/>
      <c r="I322" s="402"/>
    </row>
    <row r="323" spans="1:9" ht="12.75" customHeight="1" hidden="1">
      <c r="A323" s="6"/>
      <c r="B323" s="27">
        <v>2280</v>
      </c>
      <c r="C323" s="28" t="s">
        <v>59</v>
      </c>
      <c r="D323" s="370">
        <f>D324+D325</f>
        <v>0</v>
      </c>
      <c r="E323" s="370">
        <f>E324+E325</f>
        <v>0</v>
      </c>
      <c r="F323" s="33">
        <f>F324+F325</f>
        <v>0</v>
      </c>
      <c r="G323" s="33">
        <f>G324+G325</f>
        <v>0</v>
      </c>
      <c r="H323" s="402"/>
      <c r="I323" s="402"/>
    </row>
    <row r="324" spans="1:9" ht="12.75" customHeight="1" hidden="1">
      <c r="A324" s="6"/>
      <c r="B324" s="29">
        <v>2281</v>
      </c>
      <c r="C324" s="30" t="s">
        <v>60</v>
      </c>
      <c r="D324" s="372"/>
      <c r="E324" s="372"/>
      <c r="F324" s="34"/>
      <c r="G324" s="34"/>
      <c r="H324" s="402"/>
      <c r="I324" s="402"/>
    </row>
    <row r="325" spans="1:9" ht="12.75" customHeight="1" hidden="1">
      <c r="A325" s="6"/>
      <c r="B325" s="29">
        <v>2282</v>
      </c>
      <c r="C325" s="30" t="s">
        <v>61</v>
      </c>
      <c r="D325" s="372"/>
      <c r="E325" s="372"/>
      <c r="F325" s="34"/>
      <c r="G325" s="34"/>
      <c r="H325" s="402"/>
      <c r="I325" s="402"/>
    </row>
    <row r="326" spans="1:9" ht="12.75" customHeight="1" hidden="1">
      <c r="A326" s="6"/>
      <c r="B326" s="27">
        <v>2400</v>
      </c>
      <c r="C326" s="28" t="s">
        <v>62</v>
      </c>
      <c r="D326" s="372">
        <f>D327+D328</f>
        <v>0</v>
      </c>
      <c r="E326" s="372">
        <f>E327+E328</f>
        <v>0</v>
      </c>
      <c r="F326" s="34">
        <f>F327+F328</f>
        <v>0</v>
      </c>
      <c r="G326" s="34">
        <f>G327+G328</f>
        <v>0</v>
      </c>
      <c r="H326" s="402"/>
      <c r="I326" s="402"/>
    </row>
    <row r="327" spans="1:9" ht="12.75" customHeight="1" hidden="1">
      <c r="A327" s="6"/>
      <c r="B327" s="29">
        <v>2410</v>
      </c>
      <c r="C327" s="30" t="s">
        <v>63</v>
      </c>
      <c r="D327" s="372"/>
      <c r="E327" s="372"/>
      <c r="F327" s="34"/>
      <c r="G327" s="34"/>
      <c r="H327" s="402"/>
      <c r="I327" s="402"/>
    </row>
    <row r="328" spans="1:9" ht="12.75" customHeight="1" hidden="1">
      <c r="A328" s="6"/>
      <c r="B328" s="29">
        <v>2420</v>
      </c>
      <c r="C328" s="30" t="s">
        <v>64</v>
      </c>
      <c r="D328" s="372"/>
      <c r="E328" s="372"/>
      <c r="F328" s="34"/>
      <c r="G328" s="34"/>
      <c r="H328" s="402"/>
      <c r="I328" s="402"/>
    </row>
    <row r="329" spans="1:9" ht="12.75" customHeight="1" hidden="1">
      <c r="A329" s="6"/>
      <c r="B329" s="27">
        <v>2600</v>
      </c>
      <c r="C329" s="28" t="s">
        <v>65</v>
      </c>
      <c r="D329" s="370">
        <f>D330+D331+D332</f>
        <v>0</v>
      </c>
      <c r="E329" s="370">
        <f>E330+E331+E332</f>
        <v>0</v>
      </c>
      <c r="F329" s="33">
        <f>F330+F331+F332</f>
        <v>0</v>
      </c>
      <c r="G329" s="33">
        <f>G330+G331+G332</f>
        <v>0</v>
      </c>
      <c r="H329" s="402"/>
      <c r="I329" s="402"/>
    </row>
    <row r="330" spans="1:9" ht="12.75" customHeight="1" hidden="1">
      <c r="A330" s="6"/>
      <c r="B330" s="29">
        <v>2610</v>
      </c>
      <c r="C330" s="30" t="s">
        <v>66</v>
      </c>
      <c r="D330" s="372"/>
      <c r="E330" s="372"/>
      <c r="F330" s="34"/>
      <c r="G330" s="34"/>
      <c r="H330" s="402"/>
      <c r="I330" s="402"/>
    </row>
    <row r="331" spans="1:9" ht="12.75" customHeight="1" hidden="1">
      <c r="A331" s="6"/>
      <c r="B331" s="29">
        <v>2620</v>
      </c>
      <c r="C331" s="30" t="s">
        <v>67</v>
      </c>
      <c r="D331" s="372"/>
      <c r="E331" s="372"/>
      <c r="F331" s="34"/>
      <c r="G331" s="34"/>
      <c r="H331" s="402"/>
      <c r="I331" s="402"/>
    </row>
    <row r="332" spans="1:9" ht="12.75" customHeight="1" hidden="1">
      <c r="A332" s="6"/>
      <c r="B332" s="29">
        <v>2630</v>
      </c>
      <c r="C332" s="30" t="s">
        <v>68</v>
      </c>
      <c r="D332" s="372"/>
      <c r="E332" s="372"/>
      <c r="F332" s="34"/>
      <c r="G332" s="34"/>
      <c r="H332" s="402"/>
      <c r="I332" s="402"/>
    </row>
    <row r="333" spans="1:9" ht="12.75" customHeight="1" hidden="1">
      <c r="A333" s="6"/>
      <c r="B333" s="27">
        <v>2700</v>
      </c>
      <c r="C333" s="28" t="s">
        <v>69</v>
      </c>
      <c r="D333" s="370">
        <f>D334+D335+D336</f>
        <v>0</v>
      </c>
      <c r="E333" s="370">
        <f>E334+E335+E336</f>
        <v>0</v>
      </c>
      <c r="F333" s="33">
        <f>F334+F335+F336</f>
        <v>0</v>
      </c>
      <c r="G333" s="33">
        <f>G334+G335+G336</f>
        <v>0</v>
      </c>
      <c r="H333" s="402"/>
      <c r="I333" s="402"/>
    </row>
    <row r="334" spans="1:9" ht="12.75" customHeight="1" hidden="1">
      <c r="A334" s="6"/>
      <c r="B334" s="29">
        <v>2710</v>
      </c>
      <c r="C334" s="30" t="s">
        <v>70</v>
      </c>
      <c r="D334" s="373"/>
      <c r="E334" s="373"/>
      <c r="F334" s="42"/>
      <c r="G334" s="42"/>
      <c r="H334" s="402"/>
      <c r="I334" s="402"/>
    </row>
    <row r="335" spans="1:9" ht="12.75" customHeight="1" hidden="1">
      <c r="A335" s="6"/>
      <c r="B335" s="29">
        <v>2720</v>
      </c>
      <c r="C335" s="30" t="s">
        <v>71</v>
      </c>
      <c r="D335" s="373"/>
      <c r="E335" s="373"/>
      <c r="F335" s="34"/>
      <c r="G335" s="42"/>
      <c r="H335" s="402"/>
      <c r="I335" s="402"/>
    </row>
    <row r="336" spans="1:9" ht="12.75" customHeight="1" hidden="1">
      <c r="A336" s="6"/>
      <c r="B336" s="29">
        <v>2730</v>
      </c>
      <c r="C336" s="30" t="s">
        <v>72</v>
      </c>
      <c r="D336" s="373"/>
      <c r="E336" s="373"/>
      <c r="F336" s="34"/>
      <c r="G336" s="42"/>
      <c r="H336" s="402"/>
      <c r="I336" s="402"/>
    </row>
    <row r="337" spans="1:9" ht="12.75" customHeight="1" hidden="1">
      <c r="A337" s="6"/>
      <c r="B337" s="27">
        <v>2800</v>
      </c>
      <c r="C337" s="28" t="s">
        <v>73</v>
      </c>
      <c r="D337" s="373"/>
      <c r="E337" s="372"/>
      <c r="F337" s="34"/>
      <c r="G337" s="42"/>
      <c r="H337" s="402"/>
      <c r="I337" s="402"/>
    </row>
    <row r="338" spans="1:9" ht="12.75" customHeight="1" hidden="1">
      <c r="A338" s="21"/>
      <c r="B338" s="27">
        <v>3000</v>
      </c>
      <c r="C338" s="28" t="s">
        <v>40</v>
      </c>
      <c r="D338" s="374">
        <f>D339+D353</f>
        <v>0</v>
      </c>
      <c r="E338" s="374">
        <f>E339+E353</f>
        <v>0</v>
      </c>
      <c r="F338" s="40">
        <f>F339+F353</f>
        <v>0</v>
      </c>
      <c r="G338" s="40">
        <f>G339+G353</f>
        <v>0</v>
      </c>
      <c r="H338" s="402"/>
      <c r="I338" s="402"/>
    </row>
    <row r="339" spans="1:9" ht="12.75" customHeight="1" hidden="1">
      <c r="A339" s="21"/>
      <c r="B339" s="27">
        <v>3100</v>
      </c>
      <c r="C339" s="28" t="s">
        <v>41</v>
      </c>
      <c r="D339" s="374">
        <f>D340+D341+D344+D347+D351+D352+D353</f>
        <v>0</v>
      </c>
      <c r="E339" s="374">
        <f>E340+E341+E344+E347+E351+E352+E353</f>
        <v>0</v>
      </c>
      <c r="F339" s="40">
        <f>F340+F341+F344+F347+F351+F352+F353</f>
        <v>0</v>
      </c>
      <c r="G339" s="40">
        <f>G340+G341+G344+G347+G351+G352+G353</f>
        <v>0</v>
      </c>
      <c r="H339" s="402"/>
      <c r="I339" s="402"/>
    </row>
    <row r="340" spans="1:9" ht="12.75" customHeight="1" hidden="1">
      <c r="A340" s="21"/>
      <c r="B340" s="29">
        <v>3110</v>
      </c>
      <c r="C340" s="30" t="s">
        <v>74</v>
      </c>
      <c r="D340" s="375"/>
      <c r="E340" s="375"/>
      <c r="F340" s="41"/>
      <c r="G340" s="41"/>
      <c r="H340" s="402"/>
      <c r="I340" s="402"/>
    </row>
    <row r="341" spans="1:9" ht="12.75" customHeight="1" hidden="1">
      <c r="A341" s="21"/>
      <c r="B341" s="29">
        <v>3120</v>
      </c>
      <c r="C341" s="30" t="s">
        <v>75</v>
      </c>
      <c r="D341" s="374">
        <f>D342+D343</f>
        <v>0</v>
      </c>
      <c r="E341" s="374">
        <f>E342+E343</f>
        <v>0</v>
      </c>
      <c r="F341" s="40">
        <f>F342+F343</f>
        <v>0</v>
      </c>
      <c r="G341" s="40">
        <f>G342+G343</f>
        <v>0</v>
      </c>
      <c r="H341" s="402"/>
      <c r="I341" s="402"/>
    </row>
    <row r="342" spans="1:9" ht="12.75" customHeight="1" hidden="1">
      <c r="A342" s="21"/>
      <c r="B342" s="29">
        <v>3121</v>
      </c>
      <c r="C342" s="30" t="s">
        <v>76</v>
      </c>
      <c r="D342" s="375"/>
      <c r="E342" s="375"/>
      <c r="F342" s="41"/>
      <c r="G342" s="41"/>
      <c r="H342" s="402"/>
      <c r="I342" s="402"/>
    </row>
    <row r="343" spans="1:9" ht="12.75" customHeight="1" hidden="1">
      <c r="A343" s="21"/>
      <c r="B343" s="29">
        <v>3122</v>
      </c>
      <c r="C343" s="30" t="s">
        <v>77</v>
      </c>
      <c r="D343" s="375"/>
      <c r="E343" s="375"/>
      <c r="F343" s="41"/>
      <c r="G343" s="41"/>
      <c r="H343" s="402"/>
      <c r="I343" s="402"/>
    </row>
    <row r="344" spans="1:9" ht="12.75" customHeight="1" hidden="1">
      <c r="A344" s="21"/>
      <c r="B344" s="29">
        <v>3130</v>
      </c>
      <c r="C344" s="30" t="s">
        <v>78</v>
      </c>
      <c r="D344" s="374">
        <f>D345+D346</f>
        <v>0</v>
      </c>
      <c r="E344" s="374">
        <f>E345+E346</f>
        <v>0</v>
      </c>
      <c r="F344" s="40">
        <f>F345+F346</f>
        <v>0</v>
      </c>
      <c r="G344" s="40">
        <f>G345+G346</f>
        <v>0</v>
      </c>
      <c r="H344" s="402"/>
      <c r="I344" s="402"/>
    </row>
    <row r="345" spans="1:9" ht="12.75" customHeight="1" hidden="1">
      <c r="A345" s="21"/>
      <c r="B345" s="29">
        <v>3131</v>
      </c>
      <c r="C345" s="30" t="s">
        <v>79</v>
      </c>
      <c r="D345" s="375"/>
      <c r="E345" s="375"/>
      <c r="F345" s="41"/>
      <c r="G345" s="41"/>
      <c r="H345" s="402"/>
      <c r="I345" s="402"/>
    </row>
    <row r="346" spans="1:9" ht="12.75" customHeight="1" hidden="1">
      <c r="A346" s="21"/>
      <c r="B346" s="29">
        <v>3132</v>
      </c>
      <c r="C346" s="30" t="s">
        <v>80</v>
      </c>
      <c r="D346" s="375"/>
      <c r="E346" s="375"/>
      <c r="F346" s="41"/>
      <c r="G346" s="41"/>
      <c r="H346" s="402"/>
      <c r="I346" s="402"/>
    </row>
    <row r="347" spans="1:9" ht="12.75" customHeight="1" hidden="1">
      <c r="A347" s="21"/>
      <c r="B347" s="29">
        <v>3140</v>
      </c>
      <c r="C347" s="30" t="s">
        <v>81</v>
      </c>
      <c r="D347" s="374">
        <f>D348+D349+D350</f>
        <v>0</v>
      </c>
      <c r="E347" s="374">
        <f>E348+E349+E350</f>
        <v>0</v>
      </c>
      <c r="F347" s="40">
        <f>F348+F349+F350</f>
        <v>0</v>
      </c>
      <c r="G347" s="40">
        <f>G348+G349+G350</f>
        <v>0</v>
      </c>
      <c r="H347" s="402"/>
      <c r="I347" s="402"/>
    </row>
    <row r="348" spans="1:9" ht="12.75" customHeight="1" hidden="1">
      <c r="A348" s="21"/>
      <c r="B348" s="29">
        <v>3141</v>
      </c>
      <c r="C348" s="30" t="s">
        <v>82</v>
      </c>
      <c r="D348" s="375"/>
      <c r="E348" s="375"/>
      <c r="F348" s="41"/>
      <c r="G348" s="41"/>
      <c r="H348" s="402"/>
      <c r="I348" s="402"/>
    </row>
    <row r="349" spans="1:9" ht="12.75" customHeight="1" hidden="1">
      <c r="A349" s="21"/>
      <c r="B349" s="29">
        <v>3142</v>
      </c>
      <c r="C349" s="30" t="s">
        <v>83</v>
      </c>
      <c r="D349" s="375"/>
      <c r="E349" s="375"/>
      <c r="F349" s="41"/>
      <c r="G349" s="41"/>
      <c r="H349" s="402"/>
      <c r="I349" s="402"/>
    </row>
    <row r="350" spans="1:9" ht="12.75" customHeight="1" hidden="1">
      <c r="A350" s="21"/>
      <c r="B350" s="29">
        <v>3143</v>
      </c>
      <c r="C350" s="30" t="s">
        <v>84</v>
      </c>
      <c r="D350" s="375"/>
      <c r="E350" s="375"/>
      <c r="F350" s="41"/>
      <c r="G350" s="41"/>
      <c r="H350" s="402"/>
      <c r="I350" s="402"/>
    </row>
    <row r="351" spans="1:9" ht="12.75" customHeight="1" hidden="1">
      <c r="A351" s="21"/>
      <c r="B351" s="29">
        <v>3150</v>
      </c>
      <c r="C351" s="30" t="s">
        <v>85</v>
      </c>
      <c r="D351" s="375"/>
      <c r="E351" s="375"/>
      <c r="F351" s="41"/>
      <c r="G351" s="41"/>
      <c r="H351" s="402"/>
      <c r="I351" s="402"/>
    </row>
    <row r="352" spans="1:9" ht="12.75" customHeight="1" hidden="1">
      <c r="A352" s="21"/>
      <c r="B352" s="29">
        <v>3160</v>
      </c>
      <c r="C352" s="30" t="s">
        <v>86</v>
      </c>
      <c r="D352" s="375"/>
      <c r="E352" s="375"/>
      <c r="F352" s="41"/>
      <c r="G352" s="41"/>
      <c r="H352" s="402"/>
      <c r="I352" s="402"/>
    </row>
    <row r="353" spans="1:9" ht="12.75" customHeight="1" hidden="1">
      <c r="A353" s="21"/>
      <c r="B353" s="27">
        <v>3200</v>
      </c>
      <c r="C353" s="28" t="s">
        <v>87</v>
      </c>
      <c r="D353" s="374">
        <f>D354+D355+D356+D357</f>
        <v>0</v>
      </c>
      <c r="E353" s="374">
        <f>E354+E355+E356+E357</f>
        <v>0</v>
      </c>
      <c r="F353" s="40">
        <f>F354+F355+F356+F357</f>
        <v>0</v>
      </c>
      <c r="G353" s="40">
        <f>G354+G355+G356+G357</f>
        <v>0</v>
      </c>
      <c r="H353" s="402"/>
      <c r="I353" s="402"/>
    </row>
    <row r="354" spans="1:9" ht="12.75" customHeight="1" hidden="1">
      <c r="A354" s="21"/>
      <c r="B354" s="29">
        <v>3210</v>
      </c>
      <c r="C354" s="30" t="s">
        <v>88</v>
      </c>
      <c r="D354" s="375"/>
      <c r="E354" s="375"/>
      <c r="F354" s="41"/>
      <c r="G354" s="41"/>
      <c r="H354" s="402"/>
      <c r="I354" s="402"/>
    </row>
    <row r="355" spans="1:9" ht="12.75" customHeight="1" hidden="1">
      <c r="A355" s="21"/>
      <c r="B355" s="29">
        <v>3220</v>
      </c>
      <c r="C355" s="30" t="s">
        <v>89</v>
      </c>
      <c r="D355" s="375"/>
      <c r="E355" s="375"/>
      <c r="F355" s="41"/>
      <c r="G355" s="41"/>
      <c r="H355" s="402"/>
      <c r="I355" s="402"/>
    </row>
    <row r="356" spans="1:9" ht="12.75" customHeight="1" hidden="1">
      <c r="A356" s="21"/>
      <c r="B356" s="29">
        <v>3230</v>
      </c>
      <c r="C356" s="30" t="s">
        <v>90</v>
      </c>
      <c r="D356" s="375"/>
      <c r="E356" s="375"/>
      <c r="F356" s="41"/>
      <c r="G356" s="41"/>
      <c r="H356" s="402"/>
      <c r="I356" s="402"/>
    </row>
    <row r="357" spans="1:9" ht="12.75" customHeight="1" hidden="1">
      <c r="A357" s="21"/>
      <c r="B357" s="29">
        <v>3240</v>
      </c>
      <c r="C357" s="30" t="s">
        <v>91</v>
      </c>
      <c r="D357" s="375"/>
      <c r="E357" s="375"/>
      <c r="F357" s="41"/>
      <c r="G357" s="41"/>
      <c r="H357" s="402"/>
      <c r="I357" s="402"/>
    </row>
    <row r="358" spans="1:10" s="19" customFormat="1" ht="12.75">
      <c r="A358" s="7"/>
      <c r="B358" s="7"/>
      <c r="C358" s="20" t="s">
        <v>3</v>
      </c>
      <c r="D358" s="372">
        <f>D303+D338</f>
        <v>1128.47</v>
      </c>
      <c r="E358" s="372">
        <f>E303+E338</f>
        <v>1480.4</v>
      </c>
      <c r="F358" s="34">
        <f>F303+F338</f>
        <v>1703.6000000000001</v>
      </c>
      <c r="G358" s="34">
        <f>G303+G338</f>
        <v>0</v>
      </c>
      <c r="H358" s="402"/>
      <c r="I358" s="402"/>
      <c r="J358" s="353"/>
    </row>
    <row r="359" spans="2:10" s="136" customFormat="1" ht="12.75">
      <c r="B359" s="137">
        <v>1113133</v>
      </c>
      <c r="C359" s="139" t="s">
        <v>171</v>
      </c>
      <c r="D359" s="378">
        <f>D360+D395</f>
        <v>2284.2</v>
      </c>
      <c r="E359" s="378">
        <f>E360+E395</f>
        <v>5751.8</v>
      </c>
      <c r="F359" s="123">
        <f>F360+F395</f>
        <v>2999.8999999999996</v>
      </c>
      <c r="G359" s="123">
        <f>G360+G395</f>
        <v>3128</v>
      </c>
      <c r="H359" s="402"/>
      <c r="I359" s="402"/>
      <c r="J359" s="355"/>
    </row>
    <row r="360" spans="1:9" ht="12.75">
      <c r="A360" s="6"/>
      <c r="B360" s="27">
        <v>2000</v>
      </c>
      <c r="C360" s="28" t="s">
        <v>37</v>
      </c>
      <c r="D360" s="370">
        <f>D361+D366+D383+D386+D390+D394</f>
        <v>2284.2</v>
      </c>
      <c r="E360" s="370">
        <f>E361+E366+E383+E386+E390+E394</f>
        <v>5751.8</v>
      </c>
      <c r="F360" s="33">
        <f>F361+F366+F383+F386+F390+F394</f>
        <v>2999.8999999999996</v>
      </c>
      <c r="G360" s="33">
        <f>G361+G366+G383+G386+G390+G394</f>
        <v>3092</v>
      </c>
      <c r="H360" s="402"/>
      <c r="I360" s="402"/>
    </row>
    <row r="361" spans="1:9" ht="12.75">
      <c r="A361" s="6"/>
      <c r="B361" s="29">
        <v>2100</v>
      </c>
      <c r="C361" s="30" t="s">
        <v>38</v>
      </c>
      <c r="D361" s="371">
        <f>D362+D365</f>
        <v>1530.26</v>
      </c>
      <c r="E361" s="371">
        <f>E362+E365</f>
        <v>1833.4</v>
      </c>
      <c r="F361" s="35">
        <f>F362+F365</f>
        <v>2035.3</v>
      </c>
      <c r="G361" s="35">
        <f>G362+G365</f>
        <v>0</v>
      </c>
      <c r="H361" s="402"/>
      <c r="I361" s="402"/>
    </row>
    <row r="362" spans="1:9" ht="12.75">
      <c r="A362" s="6"/>
      <c r="B362" s="29">
        <v>2110</v>
      </c>
      <c r="C362" s="30" t="s">
        <v>39</v>
      </c>
      <c r="D362" s="371">
        <f>D363+D364</f>
        <v>1252.98</v>
      </c>
      <c r="E362" s="371">
        <f>E363+E364</f>
        <v>1511</v>
      </c>
      <c r="F362" s="35">
        <f>F363+F364</f>
        <v>1668.3</v>
      </c>
      <c r="G362" s="35">
        <f>G363+G364</f>
        <v>0</v>
      </c>
      <c r="H362" s="402"/>
      <c r="I362" s="402"/>
    </row>
    <row r="363" spans="1:9" ht="12.75">
      <c r="A363" s="6"/>
      <c r="B363" s="29">
        <v>2111</v>
      </c>
      <c r="C363" s="30" t="s">
        <v>42</v>
      </c>
      <c r="D363" s="372">
        <v>1252.98</v>
      </c>
      <c r="E363" s="372">
        <v>1511</v>
      </c>
      <c r="F363" s="34">
        <f>1651.2+17.1</f>
        <v>1668.3</v>
      </c>
      <c r="G363" s="34"/>
      <c r="H363" s="402"/>
      <c r="I363" s="402"/>
    </row>
    <row r="364" spans="1:9" ht="12.75" customHeight="1" hidden="1">
      <c r="A364" s="6"/>
      <c r="B364" s="29">
        <v>2112</v>
      </c>
      <c r="C364" s="30" t="s">
        <v>43</v>
      </c>
      <c r="D364" s="372">
        <v>0</v>
      </c>
      <c r="E364" s="372">
        <v>0</v>
      </c>
      <c r="F364" s="34">
        <v>0</v>
      </c>
      <c r="G364" s="34"/>
      <c r="H364" s="402"/>
      <c r="I364" s="402"/>
    </row>
    <row r="365" spans="1:9" ht="12.75">
      <c r="A365" s="6"/>
      <c r="B365" s="29">
        <v>2120</v>
      </c>
      <c r="C365" s="30" t="s">
        <v>44</v>
      </c>
      <c r="D365" s="372">
        <v>277.28</v>
      </c>
      <c r="E365" s="372">
        <v>322.4</v>
      </c>
      <c r="F365" s="34">
        <f>ROUND(F363*0.22,1)</f>
        <v>367</v>
      </c>
      <c r="G365" s="34"/>
      <c r="H365" s="402"/>
      <c r="I365" s="402"/>
    </row>
    <row r="366" spans="1:9" ht="12.75">
      <c r="A366" s="6"/>
      <c r="B366" s="27">
        <v>2200</v>
      </c>
      <c r="C366" s="28" t="s">
        <v>45</v>
      </c>
      <c r="D366" s="370">
        <f>SUM(D367:D373)+D380</f>
        <v>570.76</v>
      </c>
      <c r="E366" s="370">
        <f>SUM(E367:E373)+E380</f>
        <v>618.4</v>
      </c>
      <c r="F366" s="33">
        <f>SUM(F367:F373)+F380</f>
        <v>664.5999999999999</v>
      </c>
      <c r="G366" s="33">
        <f>SUM(G367:G373)+G380</f>
        <v>92</v>
      </c>
      <c r="H366" s="402"/>
      <c r="I366" s="402"/>
    </row>
    <row r="367" spans="1:9" ht="12.75">
      <c r="A367" s="6"/>
      <c r="B367" s="29">
        <v>2210</v>
      </c>
      <c r="C367" s="30" t="s">
        <v>46</v>
      </c>
      <c r="D367" s="372">
        <v>86.9</v>
      </c>
      <c r="E367" s="372">
        <v>93</v>
      </c>
      <c r="F367" s="34">
        <v>99.9</v>
      </c>
      <c r="G367" s="34">
        <v>92</v>
      </c>
      <c r="H367" s="402" t="s">
        <v>591</v>
      </c>
      <c r="I367" s="402"/>
    </row>
    <row r="368" spans="1:9" ht="12.75" customHeight="1" hidden="1">
      <c r="A368" s="6"/>
      <c r="B368" s="29">
        <v>2220</v>
      </c>
      <c r="C368" s="30" t="s">
        <v>47</v>
      </c>
      <c r="D368" s="372">
        <v>0</v>
      </c>
      <c r="E368" s="372">
        <v>0</v>
      </c>
      <c r="F368" s="34">
        <v>0</v>
      </c>
      <c r="G368" s="34"/>
      <c r="H368" s="402"/>
      <c r="I368" s="402"/>
    </row>
    <row r="369" spans="1:9" ht="12.75" customHeight="1" hidden="1">
      <c r="A369" s="6"/>
      <c r="B369" s="29">
        <v>2230</v>
      </c>
      <c r="C369" s="30" t="s">
        <v>48</v>
      </c>
      <c r="D369" s="372">
        <v>0</v>
      </c>
      <c r="E369" s="372">
        <v>0</v>
      </c>
      <c r="F369" s="34">
        <v>0</v>
      </c>
      <c r="G369" s="34"/>
      <c r="H369" s="402"/>
      <c r="I369" s="402"/>
    </row>
    <row r="370" spans="1:9" ht="12.75">
      <c r="A370" s="6"/>
      <c r="B370" s="29">
        <v>2240</v>
      </c>
      <c r="C370" s="30" t="s">
        <v>49</v>
      </c>
      <c r="D370" s="372">
        <v>446.92</v>
      </c>
      <c r="E370" s="372">
        <v>478.4</v>
      </c>
      <c r="F370" s="34">
        <v>513.8</v>
      </c>
      <c r="G370" s="34"/>
      <c r="H370" s="402"/>
      <c r="I370" s="402"/>
    </row>
    <row r="371" spans="1:9" ht="12.75">
      <c r="A371" s="6"/>
      <c r="B371" s="29">
        <v>2250</v>
      </c>
      <c r="C371" s="30" t="s">
        <v>50</v>
      </c>
      <c r="D371" s="372">
        <v>25.38</v>
      </c>
      <c r="E371" s="372">
        <v>28.9</v>
      </c>
      <c r="F371" s="34">
        <v>31</v>
      </c>
      <c r="G371" s="34"/>
      <c r="H371" s="402"/>
      <c r="I371" s="402"/>
    </row>
    <row r="372" spans="1:9" ht="12.75" customHeight="1" hidden="1">
      <c r="A372" s="6"/>
      <c r="B372" s="29">
        <v>2260</v>
      </c>
      <c r="C372" s="30" t="s">
        <v>51</v>
      </c>
      <c r="D372" s="372"/>
      <c r="E372" s="372"/>
      <c r="F372" s="34"/>
      <c r="G372" s="34"/>
      <c r="H372" s="402"/>
      <c r="I372" s="402"/>
    </row>
    <row r="373" spans="1:9" ht="12.75">
      <c r="A373" s="6"/>
      <c r="B373" s="27">
        <v>2270</v>
      </c>
      <c r="C373" s="28" t="s">
        <v>52</v>
      </c>
      <c r="D373" s="370">
        <f>D374+D375+D376+D377+D378+D379</f>
        <v>11.559999999999999</v>
      </c>
      <c r="E373" s="370">
        <f>E374+E375+E376+E377+E378+E379</f>
        <v>18.099999999999998</v>
      </c>
      <c r="F373" s="33">
        <f>F374+F375+F376+F377+F378+F379</f>
        <v>19.9</v>
      </c>
      <c r="G373" s="33">
        <f>G374+G375+G376+G377+G378+G379</f>
        <v>0</v>
      </c>
      <c r="H373" s="402"/>
      <c r="I373" s="402"/>
    </row>
    <row r="374" spans="1:9" ht="12.75">
      <c r="A374" s="6"/>
      <c r="B374" s="29">
        <v>2271</v>
      </c>
      <c r="C374" s="30" t="s">
        <v>53</v>
      </c>
      <c r="D374" s="372">
        <v>5.06</v>
      </c>
      <c r="E374" s="372">
        <v>11.1</v>
      </c>
      <c r="F374" s="34">
        <v>12.2</v>
      </c>
      <c r="G374" s="34"/>
      <c r="H374" s="402"/>
      <c r="I374" s="402"/>
    </row>
    <row r="375" spans="1:9" ht="12.75">
      <c r="A375" s="6"/>
      <c r="B375" s="29">
        <v>2272</v>
      </c>
      <c r="C375" s="30" t="s">
        <v>54</v>
      </c>
      <c r="D375" s="372">
        <v>1.2</v>
      </c>
      <c r="E375" s="372">
        <v>1.7</v>
      </c>
      <c r="F375" s="34">
        <v>1.9</v>
      </c>
      <c r="G375" s="34"/>
      <c r="H375" s="402"/>
      <c r="I375" s="402"/>
    </row>
    <row r="376" spans="1:9" ht="12.75">
      <c r="A376" s="6"/>
      <c r="B376" s="29">
        <v>2273</v>
      </c>
      <c r="C376" s="30" t="s">
        <v>55</v>
      </c>
      <c r="D376" s="372">
        <v>5.3</v>
      </c>
      <c r="E376" s="372">
        <v>5.3</v>
      </c>
      <c r="F376" s="34">
        <v>5.8</v>
      </c>
      <c r="G376" s="34"/>
      <c r="H376" s="402"/>
      <c r="I376" s="402"/>
    </row>
    <row r="377" spans="1:9" ht="12.75" customHeight="1" hidden="1">
      <c r="A377" s="6"/>
      <c r="B377" s="29">
        <v>2274</v>
      </c>
      <c r="C377" s="30" t="s">
        <v>56</v>
      </c>
      <c r="D377" s="372"/>
      <c r="E377" s="372"/>
      <c r="F377" s="34"/>
      <c r="G377" s="34"/>
      <c r="H377" s="402"/>
      <c r="I377" s="402"/>
    </row>
    <row r="378" spans="1:9" ht="12.75" customHeight="1" hidden="1">
      <c r="A378" s="6"/>
      <c r="B378" s="29">
        <v>2275</v>
      </c>
      <c r="C378" s="30" t="s">
        <v>57</v>
      </c>
      <c r="D378" s="372"/>
      <c r="E378" s="372"/>
      <c r="F378" s="34"/>
      <c r="G378" s="34"/>
      <c r="H378" s="402"/>
      <c r="I378" s="402"/>
    </row>
    <row r="379" spans="1:9" ht="12.75" customHeight="1" hidden="1">
      <c r="A379" s="6"/>
      <c r="B379" s="31">
        <v>2276</v>
      </c>
      <c r="C379" s="32" t="s">
        <v>58</v>
      </c>
      <c r="D379" s="372"/>
      <c r="E379" s="372"/>
      <c r="F379" s="34"/>
      <c r="G379" s="34"/>
      <c r="H379" s="402"/>
      <c r="I379" s="402"/>
    </row>
    <row r="380" spans="1:9" ht="12.75" customHeight="1" hidden="1">
      <c r="A380" s="6"/>
      <c r="B380" s="27">
        <v>2280</v>
      </c>
      <c r="C380" s="28" t="s">
        <v>59</v>
      </c>
      <c r="D380" s="370">
        <f>D381+D382</f>
        <v>0</v>
      </c>
      <c r="E380" s="370">
        <f>E381+E382</f>
        <v>0</v>
      </c>
      <c r="F380" s="33">
        <f>F381+F382</f>
        <v>0</v>
      </c>
      <c r="G380" s="33">
        <f>G381+G382</f>
        <v>0</v>
      </c>
      <c r="H380" s="402"/>
      <c r="I380" s="402"/>
    </row>
    <row r="381" spans="1:9" ht="12.75" customHeight="1" hidden="1">
      <c r="A381" s="6"/>
      <c r="B381" s="29">
        <v>2281</v>
      </c>
      <c r="C381" s="30" t="s">
        <v>60</v>
      </c>
      <c r="D381" s="372"/>
      <c r="E381" s="372"/>
      <c r="F381" s="34"/>
      <c r="G381" s="34"/>
      <c r="H381" s="402"/>
      <c r="I381" s="402"/>
    </row>
    <row r="382" spans="1:9" ht="12.75" customHeight="1" hidden="1">
      <c r="A382" s="6"/>
      <c r="B382" s="29">
        <v>2282</v>
      </c>
      <c r="C382" s="30" t="s">
        <v>61</v>
      </c>
      <c r="D382" s="372"/>
      <c r="E382" s="372"/>
      <c r="F382" s="34"/>
      <c r="G382" s="34"/>
      <c r="H382" s="402"/>
      <c r="I382" s="402"/>
    </row>
    <row r="383" spans="1:9" ht="12.75" customHeight="1" hidden="1">
      <c r="A383" s="6"/>
      <c r="B383" s="27">
        <v>2400</v>
      </c>
      <c r="C383" s="28" t="s">
        <v>62</v>
      </c>
      <c r="D383" s="372">
        <f>D384+D385</f>
        <v>0</v>
      </c>
      <c r="E383" s="372">
        <f>E384+E385</f>
        <v>0</v>
      </c>
      <c r="F383" s="34">
        <f>F384+F385</f>
        <v>0</v>
      </c>
      <c r="G383" s="34">
        <f>G384+G385</f>
        <v>0</v>
      </c>
      <c r="H383" s="402"/>
      <c r="I383" s="402"/>
    </row>
    <row r="384" spans="1:9" ht="12.75" customHeight="1" hidden="1">
      <c r="A384" s="6"/>
      <c r="B384" s="29">
        <v>2410</v>
      </c>
      <c r="C384" s="30" t="s">
        <v>63</v>
      </c>
      <c r="D384" s="372"/>
      <c r="E384" s="372"/>
      <c r="F384" s="34"/>
      <c r="G384" s="34"/>
      <c r="H384" s="402"/>
      <c r="I384" s="402"/>
    </row>
    <row r="385" spans="1:9" ht="12.75" customHeight="1" hidden="1">
      <c r="A385" s="6"/>
      <c r="B385" s="29">
        <v>2420</v>
      </c>
      <c r="C385" s="30" t="s">
        <v>64</v>
      </c>
      <c r="D385" s="372"/>
      <c r="E385" s="372"/>
      <c r="F385" s="34"/>
      <c r="G385" s="34"/>
      <c r="H385" s="402"/>
      <c r="I385" s="402"/>
    </row>
    <row r="386" spans="1:9" ht="12.75">
      <c r="A386" s="6"/>
      <c r="B386" s="27">
        <v>2600</v>
      </c>
      <c r="C386" s="28" t="s">
        <v>65</v>
      </c>
      <c r="D386" s="370">
        <f>D387+D388+D389</f>
        <v>183.18</v>
      </c>
      <c r="E386" s="370">
        <f>E387+E388+E389</f>
        <v>300</v>
      </c>
      <c r="F386" s="33">
        <f>F387+F388+F389</f>
        <v>300</v>
      </c>
      <c r="G386" s="33">
        <f>G387+G388+G389</f>
        <v>0</v>
      </c>
      <c r="H386" s="402"/>
      <c r="I386" s="402"/>
    </row>
    <row r="387" spans="1:9" ht="12.75">
      <c r="A387" s="6"/>
      <c r="B387" s="29">
        <v>2610</v>
      </c>
      <c r="C387" s="30" t="s">
        <v>66</v>
      </c>
      <c r="D387" s="372">
        <v>183.18</v>
      </c>
      <c r="E387" s="372">
        <v>300</v>
      </c>
      <c r="F387" s="34">
        <v>300</v>
      </c>
      <c r="G387" s="34"/>
      <c r="H387" s="402"/>
      <c r="I387" s="402"/>
    </row>
    <row r="388" spans="1:9" ht="12.75" customHeight="1" hidden="1">
      <c r="A388" s="6"/>
      <c r="B388" s="29">
        <v>2620</v>
      </c>
      <c r="C388" s="30" t="s">
        <v>67</v>
      </c>
      <c r="D388" s="372"/>
      <c r="E388" s="372"/>
      <c r="F388" s="34"/>
      <c r="G388" s="34"/>
      <c r="H388" s="402"/>
      <c r="I388" s="402"/>
    </row>
    <row r="389" spans="1:9" ht="12.75" customHeight="1" hidden="1">
      <c r="A389" s="6"/>
      <c r="B389" s="29">
        <v>2630</v>
      </c>
      <c r="C389" s="30" t="s">
        <v>68</v>
      </c>
      <c r="D389" s="372"/>
      <c r="E389" s="372"/>
      <c r="F389" s="34"/>
      <c r="G389" s="34"/>
      <c r="H389" s="402"/>
      <c r="I389" s="402"/>
    </row>
    <row r="390" spans="1:9" ht="22.5" customHeight="1">
      <c r="A390" s="6"/>
      <c r="B390" s="27">
        <v>2700</v>
      </c>
      <c r="C390" s="28" t="s">
        <v>69</v>
      </c>
      <c r="D390" s="370">
        <f>D391+D392+D393</f>
        <v>0</v>
      </c>
      <c r="E390" s="370">
        <f>E391+E392+E393</f>
        <v>3000</v>
      </c>
      <c r="F390" s="33">
        <f>F391+F392+F393</f>
        <v>0</v>
      </c>
      <c r="G390" s="33">
        <f>G391+G392+G393</f>
        <v>3000</v>
      </c>
      <c r="H390" s="403" t="s">
        <v>195</v>
      </c>
      <c r="I390" s="404"/>
    </row>
    <row r="391" spans="1:9" ht="12.75" customHeight="1" hidden="1">
      <c r="A391" s="6"/>
      <c r="B391" s="29">
        <v>2710</v>
      </c>
      <c r="C391" s="30" t="s">
        <v>70</v>
      </c>
      <c r="D391" s="373"/>
      <c r="E391" s="373"/>
      <c r="F391" s="42"/>
      <c r="G391" s="42"/>
      <c r="H391" s="405"/>
      <c r="I391" s="406"/>
    </row>
    <row r="392" spans="1:9" ht="12.75" customHeight="1" hidden="1">
      <c r="A392" s="6"/>
      <c r="B392" s="29">
        <v>2720</v>
      </c>
      <c r="C392" s="30" t="s">
        <v>71</v>
      </c>
      <c r="D392" s="373"/>
      <c r="E392" s="373"/>
      <c r="F392" s="34"/>
      <c r="G392" s="42"/>
      <c r="H392" s="405"/>
      <c r="I392" s="406"/>
    </row>
    <row r="393" spans="1:9" ht="12.75">
      <c r="A393" s="6"/>
      <c r="B393" s="29">
        <v>2730</v>
      </c>
      <c r="C393" s="30" t="s">
        <v>72</v>
      </c>
      <c r="D393" s="373"/>
      <c r="E393" s="372">
        <v>3000</v>
      </c>
      <c r="F393" s="34"/>
      <c r="G393" s="42">
        <v>3000</v>
      </c>
      <c r="H393" s="407"/>
      <c r="I393" s="408"/>
    </row>
    <row r="394" spans="1:9" ht="12.75" customHeight="1" hidden="1">
      <c r="A394" s="6"/>
      <c r="B394" s="27">
        <v>2800</v>
      </c>
      <c r="C394" s="28" t="s">
        <v>73</v>
      </c>
      <c r="D394" s="373"/>
      <c r="E394" s="372"/>
      <c r="F394" s="34"/>
      <c r="G394" s="42"/>
      <c r="H394" s="402"/>
      <c r="I394" s="402"/>
    </row>
    <row r="395" spans="1:9" ht="12.75">
      <c r="A395" s="21"/>
      <c r="B395" s="27">
        <v>3000</v>
      </c>
      <c r="C395" s="28" t="s">
        <v>40</v>
      </c>
      <c r="D395" s="374">
        <f>D396+D410</f>
        <v>0</v>
      </c>
      <c r="E395" s="374">
        <f>E396+E410</f>
        <v>0</v>
      </c>
      <c r="F395" s="40">
        <f>F396+F410</f>
        <v>0</v>
      </c>
      <c r="G395" s="40">
        <f>G396+G410</f>
        <v>36</v>
      </c>
      <c r="H395" s="403" t="s">
        <v>592</v>
      </c>
      <c r="I395" s="404"/>
    </row>
    <row r="396" spans="1:9" ht="12.75">
      <c r="A396" s="21"/>
      <c r="B396" s="27">
        <v>3100</v>
      </c>
      <c r="C396" s="28" t="s">
        <v>41</v>
      </c>
      <c r="D396" s="374">
        <f>D397+D398+D401+D404+D408+D409+D410</f>
        <v>0</v>
      </c>
      <c r="E396" s="374">
        <f>E397+E398+E401+E404+E408+E409+E410</f>
        <v>0</v>
      </c>
      <c r="F396" s="40">
        <f>F397+F398+F401+F404+F408+F409+F410</f>
        <v>0</v>
      </c>
      <c r="G396" s="40">
        <f>G397+G398+G401+G404+G408+G409+G410</f>
        <v>36</v>
      </c>
      <c r="H396" s="405"/>
      <c r="I396" s="406"/>
    </row>
    <row r="397" spans="1:9" ht="12.75">
      <c r="A397" s="21"/>
      <c r="B397" s="29">
        <v>3110</v>
      </c>
      <c r="C397" s="30" t="s">
        <v>74</v>
      </c>
      <c r="D397" s="375"/>
      <c r="E397" s="375"/>
      <c r="F397" s="41"/>
      <c r="G397" s="41">
        <v>36</v>
      </c>
      <c r="H397" s="407"/>
      <c r="I397" s="408"/>
    </row>
    <row r="398" spans="1:9" ht="12.75" customHeight="1" hidden="1">
      <c r="A398" s="21"/>
      <c r="B398" s="29">
        <v>3120</v>
      </c>
      <c r="C398" s="30" t="s">
        <v>75</v>
      </c>
      <c r="D398" s="374">
        <f>D399+D400</f>
        <v>0</v>
      </c>
      <c r="E398" s="374">
        <f>E399+E400</f>
        <v>0</v>
      </c>
      <c r="F398" s="40">
        <f>F399+F400</f>
        <v>0</v>
      </c>
      <c r="G398" s="40">
        <f>G399+G400</f>
        <v>0</v>
      </c>
      <c r="H398" s="402"/>
      <c r="I398" s="402"/>
    </row>
    <row r="399" spans="1:9" ht="12.75" customHeight="1" hidden="1">
      <c r="A399" s="21"/>
      <c r="B399" s="29">
        <v>3121</v>
      </c>
      <c r="C399" s="30" t="s">
        <v>76</v>
      </c>
      <c r="D399" s="375"/>
      <c r="E399" s="375"/>
      <c r="F399" s="41"/>
      <c r="G399" s="41"/>
      <c r="H399" s="402"/>
      <c r="I399" s="402"/>
    </row>
    <row r="400" spans="1:9" ht="12.75" customHeight="1" hidden="1">
      <c r="A400" s="21"/>
      <c r="B400" s="29">
        <v>3122</v>
      </c>
      <c r="C400" s="30" t="s">
        <v>77</v>
      </c>
      <c r="D400" s="375"/>
      <c r="E400" s="375"/>
      <c r="F400" s="41"/>
      <c r="G400" s="41"/>
      <c r="H400" s="402"/>
      <c r="I400" s="402"/>
    </row>
    <row r="401" spans="1:9" ht="12.75" customHeight="1" hidden="1">
      <c r="A401" s="21"/>
      <c r="B401" s="29">
        <v>3130</v>
      </c>
      <c r="C401" s="30" t="s">
        <v>78</v>
      </c>
      <c r="D401" s="374">
        <f>D402+D403</f>
        <v>0</v>
      </c>
      <c r="E401" s="374">
        <f>E402+E403</f>
        <v>0</v>
      </c>
      <c r="F401" s="40">
        <f>F402+F403</f>
        <v>0</v>
      </c>
      <c r="G401" s="40">
        <f>G402+G403</f>
        <v>0</v>
      </c>
      <c r="H401" s="402"/>
      <c r="I401" s="402"/>
    </row>
    <row r="402" spans="1:9" ht="12.75" customHeight="1" hidden="1">
      <c r="A402" s="21"/>
      <c r="B402" s="29">
        <v>3131</v>
      </c>
      <c r="C402" s="30" t="s">
        <v>79</v>
      </c>
      <c r="D402" s="375"/>
      <c r="E402" s="375"/>
      <c r="F402" s="41"/>
      <c r="G402" s="41"/>
      <c r="H402" s="402"/>
      <c r="I402" s="402"/>
    </row>
    <row r="403" spans="1:9" ht="12.75" customHeight="1" hidden="1">
      <c r="A403" s="21"/>
      <c r="B403" s="29">
        <v>3132</v>
      </c>
      <c r="C403" s="30" t="s">
        <v>80</v>
      </c>
      <c r="D403" s="375"/>
      <c r="E403" s="375"/>
      <c r="F403" s="41"/>
      <c r="G403" s="41"/>
      <c r="H403" s="402"/>
      <c r="I403" s="402"/>
    </row>
    <row r="404" spans="1:9" ht="12.75" customHeight="1" hidden="1">
      <c r="A404" s="21"/>
      <c r="B404" s="29">
        <v>3140</v>
      </c>
      <c r="C404" s="30" t="s">
        <v>81</v>
      </c>
      <c r="D404" s="374">
        <f>D405+D406+D407</f>
        <v>0</v>
      </c>
      <c r="E404" s="374">
        <f>E405+E406+E407</f>
        <v>0</v>
      </c>
      <c r="F404" s="40">
        <f>F405+F406+F407</f>
        <v>0</v>
      </c>
      <c r="G404" s="40">
        <f>G405+G406+G407</f>
        <v>0</v>
      </c>
      <c r="H404" s="402"/>
      <c r="I404" s="402"/>
    </row>
    <row r="405" spans="1:9" ht="12.75" customHeight="1" hidden="1">
      <c r="A405" s="21"/>
      <c r="B405" s="29">
        <v>3141</v>
      </c>
      <c r="C405" s="30" t="s">
        <v>82</v>
      </c>
      <c r="D405" s="375"/>
      <c r="E405" s="375"/>
      <c r="F405" s="41"/>
      <c r="G405" s="41"/>
      <c r="H405" s="402"/>
      <c r="I405" s="402"/>
    </row>
    <row r="406" spans="1:9" ht="12.75" customHeight="1" hidden="1">
      <c r="A406" s="21"/>
      <c r="B406" s="29">
        <v>3142</v>
      </c>
      <c r="C406" s="30" t="s">
        <v>83</v>
      </c>
      <c r="D406" s="375"/>
      <c r="E406" s="375"/>
      <c r="F406" s="41"/>
      <c r="G406" s="41"/>
      <c r="H406" s="402"/>
      <c r="I406" s="402"/>
    </row>
    <row r="407" spans="1:9" ht="12.75" customHeight="1" hidden="1">
      <c r="A407" s="21"/>
      <c r="B407" s="29">
        <v>3143</v>
      </c>
      <c r="C407" s="30" t="s">
        <v>84</v>
      </c>
      <c r="D407" s="375"/>
      <c r="E407" s="375"/>
      <c r="F407" s="41"/>
      <c r="G407" s="41"/>
      <c r="H407" s="402"/>
      <c r="I407" s="402"/>
    </row>
    <row r="408" spans="1:9" ht="12.75" customHeight="1" hidden="1">
      <c r="A408" s="21"/>
      <c r="B408" s="29">
        <v>3150</v>
      </c>
      <c r="C408" s="30" t="s">
        <v>85</v>
      </c>
      <c r="D408" s="375"/>
      <c r="E408" s="375"/>
      <c r="F408" s="41"/>
      <c r="G408" s="41"/>
      <c r="H408" s="402"/>
      <c r="I408" s="402"/>
    </row>
    <row r="409" spans="1:9" ht="12.75" customHeight="1" hidden="1">
      <c r="A409" s="21"/>
      <c r="B409" s="29">
        <v>3160</v>
      </c>
      <c r="C409" s="30" t="s">
        <v>86</v>
      </c>
      <c r="D409" s="375"/>
      <c r="E409" s="375"/>
      <c r="F409" s="41"/>
      <c r="G409" s="41"/>
      <c r="H409" s="402"/>
      <c r="I409" s="402"/>
    </row>
    <row r="410" spans="1:9" ht="12.75" customHeight="1" hidden="1">
      <c r="A410" s="21"/>
      <c r="B410" s="27">
        <v>3200</v>
      </c>
      <c r="C410" s="28" t="s">
        <v>87</v>
      </c>
      <c r="D410" s="374">
        <f>D411+D412+D413+D414</f>
        <v>0</v>
      </c>
      <c r="E410" s="374">
        <f>E411+E412+E413+E414</f>
        <v>0</v>
      </c>
      <c r="F410" s="40">
        <f>F411+F412+F413+F414</f>
        <v>0</v>
      </c>
      <c r="G410" s="40">
        <f>G411+G412+G413+G414</f>
        <v>0</v>
      </c>
      <c r="H410" s="402"/>
      <c r="I410" s="402"/>
    </row>
    <row r="411" spans="1:9" ht="12.75" customHeight="1" hidden="1">
      <c r="A411" s="21"/>
      <c r="B411" s="29">
        <v>3210</v>
      </c>
      <c r="C411" s="30" t="s">
        <v>88</v>
      </c>
      <c r="D411" s="375"/>
      <c r="E411" s="375"/>
      <c r="F411" s="41"/>
      <c r="G411" s="41"/>
      <c r="H411" s="402"/>
      <c r="I411" s="402"/>
    </row>
    <row r="412" spans="1:9" ht="12.75" customHeight="1" hidden="1">
      <c r="A412" s="21"/>
      <c r="B412" s="29">
        <v>3220</v>
      </c>
      <c r="C412" s="30" t="s">
        <v>89</v>
      </c>
      <c r="D412" s="375"/>
      <c r="E412" s="375"/>
      <c r="F412" s="41"/>
      <c r="G412" s="41"/>
      <c r="H412" s="402"/>
      <c r="I412" s="402"/>
    </row>
    <row r="413" spans="1:9" ht="12.75" customHeight="1" hidden="1">
      <c r="A413" s="21"/>
      <c r="B413" s="29">
        <v>3230</v>
      </c>
      <c r="C413" s="30" t="s">
        <v>90</v>
      </c>
      <c r="D413" s="375"/>
      <c r="E413" s="375"/>
      <c r="F413" s="41"/>
      <c r="G413" s="41"/>
      <c r="H413" s="402"/>
      <c r="I413" s="402"/>
    </row>
    <row r="414" spans="1:9" ht="12.75" customHeight="1" hidden="1">
      <c r="A414" s="21"/>
      <c r="B414" s="29">
        <v>3240</v>
      </c>
      <c r="C414" s="30" t="s">
        <v>91</v>
      </c>
      <c r="D414" s="375"/>
      <c r="E414" s="375"/>
      <c r="F414" s="41"/>
      <c r="G414" s="41"/>
      <c r="H414" s="402"/>
      <c r="I414" s="402"/>
    </row>
    <row r="415" spans="1:10" s="19" customFormat="1" ht="12.75">
      <c r="A415" s="7"/>
      <c r="B415" s="7"/>
      <c r="C415" s="20" t="s">
        <v>3</v>
      </c>
      <c r="D415" s="372">
        <f>D360+D395</f>
        <v>2284.2</v>
      </c>
      <c r="E415" s="372">
        <f>E360+E395</f>
        <v>5751.8</v>
      </c>
      <c r="F415" s="34">
        <f>F360+F395</f>
        <v>2999.8999999999996</v>
      </c>
      <c r="G415" s="34">
        <f>G360+G395</f>
        <v>3128</v>
      </c>
      <c r="H415" s="402"/>
      <c r="I415" s="402"/>
      <c r="J415" s="353"/>
    </row>
    <row r="416" spans="2:10" s="37" customFormat="1" ht="39">
      <c r="B416" s="140">
        <v>1113140</v>
      </c>
      <c r="C416" s="141" t="s">
        <v>164</v>
      </c>
      <c r="D416" s="369">
        <f>D417+D452</f>
        <v>15283.16</v>
      </c>
      <c r="E416" s="369">
        <f>E417+E452</f>
        <v>24068.7</v>
      </c>
      <c r="F416" s="44">
        <f>F417+F452</f>
        <v>14599.6</v>
      </c>
      <c r="G416" s="44">
        <f>G417+G452</f>
        <v>3000</v>
      </c>
      <c r="H416" s="402"/>
      <c r="I416" s="402"/>
      <c r="J416" s="350"/>
    </row>
    <row r="417" spans="1:9" ht="12.75" customHeight="1">
      <c r="A417" s="6"/>
      <c r="B417" s="27">
        <v>2000</v>
      </c>
      <c r="C417" s="28" t="s">
        <v>37</v>
      </c>
      <c r="D417" s="370">
        <f>D418+D423+D440+D443+D447+D451</f>
        <v>15283.16</v>
      </c>
      <c r="E417" s="370">
        <f>E418+E423+E440+E443+E447+E451</f>
        <v>24068.7</v>
      </c>
      <c r="F417" s="33">
        <f>F418+F423+F440+F443+F447+F451</f>
        <v>14599.6</v>
      </c>
      <c r="G417" s="33">
        <f>G418+G423+G440+G443+G447+G451</f>
        <v>3000</v>
      </c>
      <c r="H417" s="403" t="s">
        <v>193</v>
      </c>
      <c r="I417" s="404"/>
    </row>
    <row r="418" spans="1:9" ht="12.75" customHeight="1" hidden="1">
      <c r="A418" s="6"/>
      <c r="B418" s="29">
        <v>2100</v>
      </c>
      <c r="C418" s="30" t="s">
        <v>38</v>
      </c>
      <c r="D418" s="371">
        <f>D419+D422</f>
        <v>0</v>
      </c>
      <c r="E418" s="371">
        <f>E419+E422</f>
        <v>0</v>
      </c>
      <c r="F418" s="35">
        <f>F419+F422</f>
        <v>0</v>
      </c>
      <c r="G418" s="35">
        <f>G419+G422</f>
        <v>0</v>
      </c>
      <c r="H418" s="405"/>
      <c r="I418" s="406"/>
    </row>
    <row r="419" spans="1:9" ht="12.75" customHeight="1" hidden="1">
      <c r="A419" s="6"/>
      <c r="B419" s="29">
        <v>2110</v>
      </c>
      <c r="C419" s="30" t="s">
        <v>39</v>
      </c>
      <c r="D419" s="371">
        <f>D420+D421</f>
        <v>0</v>
      </c>
      <c r="E419" s="371">
        <f>E420+E421</f>
        <v>0</v>
      </c>
      <c r="F419" s="35">
        <f>F420+F421</f>
        <v>0</v>
      </c>
      <c r="G419" s="35">
        <f>G420+G421</f>
        <v>0</v>
      </c>
      <c r="H419" s="405"/>
      <c r="I419" s="406"/>
    </row>
    <row r="420" spans="1:9" ht="12.75" customHeight="1" hidden="1">
      <c r="A420" s="6"/>
      <c r="B420" s="29">
        <v>2111</v>
      </c>
      <c r="C420" s="30" t="s">
        <v>42</v>
      </c>
      <c r="D420" s="372"/>
      <c r="E420" s="372"/>
      <c r="F420" s="34"/>
      <c r="G420" s="34"/>
      <c r="H420" s="405"/>
      <c r="I420" s="406"/>
    </row>
    <row r="421" spans="1:9" ht="12.75" customHeight="1" hidden="1">
      <c r="A421" s="6"/>
      <c r="B421" s="29">
        <v>2112</v>
      </c>
      <c r="C421" s="30" t="s">
        <v>43</v>
      </c>
      <c r="D421" s="372"/>
      <c r="E421" s="372"/>
      <c r="F421" s="34"/>
      <c r="G421" s="34"/>
      <c r="H421" s="405"/>
      <c r="I421" s="406"/>
    </row>
    <row r="422" spans="1:9" ht="12.75" customHeight="1" hidden="1">
      <c r="A422" s="6"/>
      <c r="B422" s="29">
        <v>2120</v>
      </c>
      <c r="C422" s="30" t="s">
        <v>44</v>
      </c>
      <c r="D422" s="372"/>
      <c r="E422" s="372"/>
      <c r="F422" s="34"/>
      <c r="G422" s="34"/>
      <c r="H422" s="405"/>
      <c r="I422" s="406"/>
    </row>
    <row r="423" spans="1:9" ht="12.75">
      <c r="A423" s="6"/>
      <c r="B423" s="27">
        <v>2200</v>
      </c>
      <c r="C423" s="28" t="s">
        <v>45</v>
      </c>
      <c r="D423" s="370">
        <f>SUM(D424:D430)+D437</f>
        <v>15283.16</v>
      </c>
      <c r="E423" s="370">
        <f>SUM(E424:E430)+E437</f>
        <v>24068.7</v>
      </c>
      <c r="F423" s="33">
        <f>SUM(F424:F430)+F437</f>
        <v>14599.6</v>
      </c>
      <c r="G423" s="33">
        <f>SUM(G424:G430)+G437</f>
        <v>3000</v>
      </c>
      <c r="H423" s="405"/>
      <c r="I423" s="406"/>
    </row>
    <row r="424" spans="1:9" ht="12.75" customHeight="1" hidden="1">
      <c r="A424" s="6"/>
      <c r="B424" s="29">
        <v>2210</v>
      </c>
      <c r="C424" s="30" t="s">
        <v>46</v>
      </c>
      <c r="D424" s="372"/>
      <c r="E424" s="372"/>
      <c r="F424" s="34"/>
      <c r="G424" s="34"/>
      <c r="H424" s="405"/>
      <c r="I424" s="406"/>
    </row>
    <row r="425" spans="1:9" ht="12.75" customHeight="1" hidden="1">
      <c r="A425" s="6"/>
      <c r="B425" s="29">
        <v>2220</v>
      </c>
      <c r="C425" s="30" t="s">
        <v>47</v>
      </c>
      <c r="D425" s="372"/>
      <c r="E425" s="372"/>
      <c r="F425" s="34"/>
      <c r="G425" s="34"/>
      <c r="H425" s="405"/>
      <c r="I425" s="406"/>
    </row>
    <row r="426" spans="1:9" ht="12.75" customHeight="1" hidden="1">
      <c r="A426" s="6"/>
      <c r="B426" s="29">
        <v>2230</v>
      </c>
      <c r="C426" s="30" t="s">
        <v>48</v>
      </c>
      <c r="D426" s="372"/>
      <c r="E426" s="372"/>
      <c r="F426" s="34"/>
      <c r="G426" s="34"/>
      <c r="H426" s="405"/>
      <c r="I426" s="406"/>
    </row>
    <row r="427" spans="1:9" ht="12.75" customHeight="1" hidden="1">
      <c r="A427" s="6"/>
      <c r="B427" s="29">
        <v>2240</v>
      </c>
      <c r="C427" s="30" t="s">
        <v>49</v>
      </c>
      <c r="D427" s="372"/>
      <c r="E427" s="372"/>
      <c r="F427" s="34"/>
      <c r="G427" s="34"/>
      <c r="H427" s="405"/>
      <c r="I427" s="406"/>
    </row>
    <row r="428" spans="1:9" ht="12.75" customHeight="1" hidden="1">
      <c r="A428" s="6"/>
      <c r="B428" s="29">
        <v>2250</v>
      </c>
      <c r="C428" s="30" t="s">
        <v>50</v>
      </c>
      <c r="D428" s="372"/>
      <c r="E428" s="372"/>
      <c r="F428" s="34"/>
      <c r="G428" s="34"/>
      <c r="H428" s="405"/>
      <c r="I428" s="406"/>
    </row>
    <row r="429" spans="1:9" ht="12.75" customHeight="1" hidden="1">
      <c r="A429" s="6"/>
      <c r="B429" s="29">
        <v>2260</v>
      </c>
      <c r="C429" s="30" t="s">
        <v>51</v>
      </c>
      <c r="D429" s="372"/>
      <c r="E429" s="372"/>
      <c r="F429" s="34"/>
      <c r="G429" s="34"/>
      <c r="H429" s="405"/>
      <c r="I429" s="406"/>
    </row>
    <row r="430" spans="1:9" ht="12.75" customHeight="1" hidden="1">
      <c r="A430" s="6"/>
      <c r="B430" s="27">
        <v>2270</v>
      </c>
      <c r="C430" s="28" t="s">
        <v>52</v>
      </c>
      <c r="D430" s="370">
        <f>D431+D432+D433+D434+D435+D436</f>
        <v>0</v>
      </c>
      <c r="E430" s="370">
        <f>E431+E432+E433+E434+E435+E436</f>
        <v>0</v>
      </c>
      <c r="F430" s="33">
        <f>F431+F432+F433+F434+F435+F436</f>
        <v>0</v>
      </c>
      <c r="G430" s="33">
        <f>G431+G432+G433+G434+G435+G436</f>
        <v>0</v>
      </c>
      <c r="H430" s="405"/>
      <c r="I430" s="406"/>
    </row>
    <row r="431" spans="1:9" ht="12.75" customHeight="1" hidden="1">
      <c r="A431" s="6"/>
      <c r="B431" s="29">
        <v>2271</v>
      </c>
      <c r="C431" s="30" t="s">
        <v>53</v>
      </c>
      <c r="D431" s="372"/>
      <c r="E431" s="372"/>
      <c r="F431" s="34"/>
      <c r="G431" s="34"/>
      <c r="H431" s="405"/>
      <c r="I431" s="406"/>
    </row>
    <row r="432" spans="1:9" ht="12.75" customHeight="1" hidden="1">
      <c r="A432" s="6"/>
      <c r="B432" s="29">
        <v>2272</v>
      </c>
      <c r="C432" s="30" t="s">
        <v>54</v>
      </c>
      <c r="D432" s="372"/>
      <c r="E432" s="372"/>
      <c r="F432" s="34"/>
      <c r="G432" s="34"/>
      <c r="H432" s="405"/>
      <c r="I432" s="406"/>
    </row>
    <row r="433" spans="1:9" ht="12.75" customHeight="1" hidden="1">
      <c r="A433" s="6"/>
      <c r="B433" s="29">
        <v>2273</v>
      </c>
      <c r="C433" s="30" t="s">
        <v>55</v>
      </c>
      <c r="D433" s="372"/>
      <c r="E433" s="372"/>
      <c r="F433" s="34"/>
      <c r="G433" s="34"/>
      <c r="H433" s="405"/>
      <c r="I433" s="406"/>
    </row>
    <row r="434" spans="1:9" ht="12.75" customHeight="1" hidden="1">
      <c r="A434" s="6"/>
      <c r="B434" s="29">
        <v>2274</v>
      </c>
      <c r="C434" s="30" t="s">
        <v>56</v>
      </c>
      <c r="D434" s="372"/>
      <c r="E434" s="372"/>
      <c r="F434" s="34"/>
      <c r="G434" s="34"/>
      <c r="H434" s="405"/>
      <c r="I434" s="406"/>
    </row>
    <row r="435" spans="1:9" ht="12.75" customHeight="1" hidden="1">
      <c r="A435" s="6"/>
      <c r="B435" s="29">
        <v>2275</v>
      </c>
      <c r="C435" s="30" t="s">
        <v>57</v>
      </c>
      <c r="D435" s="372"/>
      <c r="E435" s="372"/>
      <c r="F435" s="34"/>
      <c r="G435" s="34"/>
      <c r="H435" s="405"/>
      <c r="I435" s="406"/>
    </row>
    <row r="436" spans="1:9" ht="12.75" customHeight="1" hidden="1">
      <c r="A436" s="6"/>
      <c r="B436" s="31">
        <v>2276</v>
      </c>
      <c r="C436" s="32" t="s">
        <v>58</v>
      </c>
      <c r="D436" s="372"/>
      <c r="E436" s="372"/>
      <c r="F436" s="34"/>
      <c r="G436" s="34"/>
      <c r="H436" s="405"/>
      <c r="I436" s="406"/>
    </row>
    <row r="437" spans="1:9" ht="12.75">
      <c r="A437" s="6"/>
      <c r="B437" s="27">
        <v>2280</v>
      </c>
      <c r="C437" s="28" t="s">
        <v>59</v>
      </c>
      <c r="D437" s="370">
        <f>D438+D439</f>
        <v>15283.16</v>
      </c>
      <c r="E437" s="370">
        <f>E438+E439</f>
        <v>24068.7</v>
      </c>
      <c r="F437" s="33">
        <f>F438+F439</f>
        <v>14599.6</v>
      </c>
      <c r="G437" s="33">
        <f>G438+G439</f>
        <v>3000</v>
      </c>
      <c r="H437" s="405"/>
      <c r="I437" s="406"/>
    </row>
    <row r="438" spans="1:9" ht="12.75" customHeight="1" hidden="1">
      <c r="A438" s="6"/>
      <c r="B438" s="29">
        <v>2281</v>
      </c>
      <c r="C438" s="30" t="s">
        <v>60</v>
      </c>
      <c r="D438" s="372"/>
      <c r="E438" s="372"/>
      <c r="F438" s="34"/>
      <c r="G438" s="34"/>
      <c r="H438" s="405"/>
      <c r="I438" s="406"/>
    </row>
    <row r="439" spans="1:9" ht="12.75">
      <c r="A439" s="6"/>
      <c r="B439" s="29">
        <v>2282</v>
      </c>
      <c r="C439" s="30" t="s">
        <v>61</v>
      </c>
      <c r="D439" s="372">
        <v>15283.16</v>
      </c>
      <c r="E439" s="372">
        <v>24068.7</v>
      </c>
      <c r="F439" s="34">
        <v>14599.6</v>
      </c>
      <c r="G439" s="75">
        <v>3000</v>
      </c>
      <c r="H439" s="405"/>
      <c r="I439" s="406"/>
    </row>
    <row r="440" spans="1:9" ht="12.75" customHeight="1" hidden="1">
      <c r="A440" s="6"/>
      <c r="B440" s="27">
        <v>2400</v>
      </c>
      <c r="C440" s="28" t="s">
        <v>62</v>
      </c>
      <c r="D440" s="372">
        <f>D441+D442</f>
        <v>0</v>
      </c>
      <c r="E440" s="372">
        <f>E441+E442</f>
        <v>0</v>
      </c>
      <c r="F440" s="34">
        <f>F441+F442</f>
        <v>0</v>
      </c>
      <c r="G440" s="34">
        <f>G441+G442</f>
        <v>0</v>
      </c>
      <c r="H440" s="405"/>
      <c r="I440" s="406"/>
    </row>
    <row r="441" spans="1:9" ht="12.75" customHeight="1" hidden="1">
      <c r="A441" s="6"/>
      <c r="B441" s="29">
        <v>2410</v>
      </c>
      <c r="C441" s="30" t="s">
        <v>63</v>
      </c>
      <c r="D441" s="372"/>
      <c r="E441" s="372"/>
      <c r="F441" s="34"/>
      <c r="G441" s="34"/>
      <c r="H441" s="405"/>
      <c r="I441" s="406"/>
    </row>
    <row r="442" spans="1:9" ht="12.75" customHeight="1" hidden="1">
      <c r="A442" s="6"/>
      <c r="B442" s="29">
        <v>2420</v>
      </c>
      <c r="C442" s="30" t="s">
        <v>64</v>
      </c>
      <c r="D442" s="372"/>
      <c r="E442" s="372"/>
      <c r="F442" s="34"/>
      <c r="G442" s="34"/>
      <c r="H442" s="405"/>
      <c r="I442" s="406"/>
    </row>
    <row r="443" spans="1:9" ht="12.75" customHeight="1" hidden="1">
      <c r="A443" s="6"/>
      <c r="B443" s="27">
        <v>2600</v>
      </c>
      <c r="C443" s="28" t="s">
        <v>65</v>
      </c>
      <c r="D443" s="370">
        <f>D444+D445+D446</f>
        <v>0</v>
      </c>
      <c r="E443" s="370">
        <f>E444+E445+E446</f>
        <v>0</v>
      </c>
      <c r="F443" s="33">
        <f>F444+F445+F446</f>
        <v>0</v>
      </c>
      <c r="G443" s="33">
        <f>G444+G445+G446</f>
        <v>0</v>
      </c>
      <c r="H443" s="405"/>
      <c r="I443" s="406"/>
    </row>
    <row r="444" spans="1:9" ht="12.75" customHeight="1" hidden="1">
      <c r="A444" s="6"/>
      <c r="B444" s="29">
        <v>2610</v>
      </c>
      <c r="C444" s="30" t="s">
        <v>66</v>
      </c>
      <c r="D444" s="372"/>
      <c r="E444" s="372"/>
      <c r="F444" s="34"/>
      <c r="G444" s="34"/>
      <c r="H444" s="405"/>
      <c r="I444" s="406"/>
    </row>
    <row r="445" spans="1:9" ht="12.75" customHeight="1" hidden="1">
      <c r="A445" s="6"/>
      <c r="B445" s="29">
        <v>2620</v>
      </c>
      <c r="C445" s="30" t="s">
        <v>67</v>
      </c>
      <c r="D445" s="372"/>
      <c r="E445" s="372"/>
      <c r="F445" s="34"/>
      <c r="G445" s="34"/>
      <c r="H445" s="405"/>
      <c r="I445" s="406"/>
    </row>
    <row r="446" spans="1:9" ht="12.75" customHeight="1" hidden="1">
      <c r="A446" s="6"/>
      <c r="B446" s="29">
        <v>2630</v>
      </c>
      <c r="C446" s="30" t="s">
        <v>68</v>
      </c>
      <c r="D446" s="372"/>
      <c r="E446" s="372"/>
      <c r="F446" s="34"/>
      <c r="G446" s="34"/>
      <c r="H446" s="405"/>
      <c r="I446" s="406"/>
    </row>
    <row r="447" spans="1:9" ht="12.75" customHeight="1" hidden="1">
      <c r="A447" s="6"/>
      <c r="B447" s="27">
        <v>2700</v>
      </c>
      <c r="C447" s="28" t="s">
        <v>69</v>
      </c>
      <c r="D447" s="370">
        <f>D448+D449+D450</f>
        <v>0</v>
      </c>
      <c r="E447" s="370">
        <f>E448+E449+E450</f>
        <v>0</v>
      </c>
      <c r="F447" s="33">
        <f>F448+F449+F450</f>
        <v>0</v>
      </c>
      <c r="G447" s="33">
        <f>G448+G449+G450</f>
        <v>0</v>
      </c>
      <c r="H447" s="405"/>
      <c r="I447" s="406"/>
    </row>
    <row r="448" spans="1:9" ht="12.75" customHeight="1" hidden="1">
      <c r="A448" s="6"/>
      <c r="B448" s="29">
        <v>2710</v>
      </c>
      <c r="C448" s="30" t="s">
        <v>70</v>
      </c>
      <c r="D448" s="373"/>
      <c r="E448" s="373"/>
      <c r="F448" s="42"/>
      <c r="G448" s="42"/>
      <c r="H448" s="405"/>
      <c r="I448" s="406"/>
    </row>
    <row r="449" spans="1:9" ht="12.75" customHeight="1" hidden="1">
      <c r="A449" s="6"/>
      <c r="B449" s="29">
        <v>2720</v>
      </c>
      <c r="C449" s="30" t="s">
        <v>71</v>
      </c>
      <c r="D449" s="373"/>
      <c r="E449" s="373"/>
      <c r="F449" s="34"/>
      <c r="G449" s="42"/>
      <c r="H449" s="405"/>
      <c r="I449" s="406"/>
    </row>
    <row r="450" spans="1:9" ht="12.75" customHeight="1" hidden="1">
      <c r="A450" s="6"/>
      <c r="B450" s="29">
        <v>2730</v>
      </c>
      <c r="C450" s="30" t="s">
        <v>72</v>
      </c>
      <c r="D450" s="373"/>
      <c r="E450" s="373"/>
      <c r="F450" s="34"/>
      <c r="G450" s="42"/>
      <c r="H450" s="405"/>
      <c r="I450" s="406"/>
    </row>
    <row r="451" spans="1:9" ht="12.75" customHeight="1" hidden="1">
      <c r="A451" s="6"/>
      <c r="B451" s="27">
        <v>2800</v>
      </c>
      <c r="C451" s="28" t="s">
        <v>73</v>
      </c>
      <c r="D451" s="373"/>
      <c r="E451" s="372"/>
      <c r="F451" s="34"/>
      <c r="G451" s="42"/>
      <c r="H451" s="405"/>
      <c r="I451" s="406"/>
    </row>
    <row r="452" spans="1:9" ht="12.75" customHeight="1" hidden="1">
      <c r="A452" s="21"/>
      <c r="B452" s="27">
        <v>3000</v>
      </c>
      <c r="C452" s="28" t="s">
        <v>40</v>
      </c>
      <c r="D452" s="374">
        <f>D453+D467</f>
        <v>0</v>
      </c>
      <c r="E452" s="374">
        <f>E453+E467</f>
        <v>0</v>
      </c>
      <c r="F452" s="40">
        <f>F453+F467</f>
        <v>0</v>
      </c>
      <c r="G452" s="40">
        <f>G453+G467</f>
        <v>0</v>
      </c>
      <c r="H452" s="405"/>
      <c r="I452" s="406"/>
    </row>
    <row r="453" spans="1:9" ht="12.75" customHeight="1" hidden="1">
      <c r="A453" s="21"/>
      <c r="B453" s="27">
        <v>3100</v>
      </c>
      <c r="C453" s="28" t="s">
        <v>41</v>
      </c>
      <c r="D453" s="374">
        <f>D454+D455+D458+D461+D465+D466+D467</f>
        <v>0</v>
      </c>
      <c r="E453" s="374">
        <f>E454+E455+E458+E461+E465+E466+E467</f>
        <v>0</v>
      </c>
      <c r="F453" s="40">
        <f>F454+F455+F458+F461+F465+F466+F467</f>
        <v>0</v>
      </c>
      <c r="G453" s="40">
        <f>G454+G455+G458+G461+G465+G466+G467</f>
        <v>0</v>
      </c>
      <c r="H453" s="405"/>
      <c r="I453" s="406"/>
    </row>
    <row r="454" spans="1:9" ht="12.75" customHeight="1" hidden="1">
      <c r="A454" s="21"/>
      <c r="B454" s="29">
        <v>3110</v>
      </c>
      <c r="C454" s="30" t="s">
        <v>74</v>
      </c>
      <c r="D454" s="375"/>
      <c r="E454" s="375"/>
      <c r="F454" s="41"/>
      <c r="G454" s="41"/>
      <c r="H454" s="405"/>
      <c r="I454" s="406"/>
    </row>
    <row r="455" spans="1:9" ht="12.75" customHeight="1" hidden="1">
      <c r="A455" s="21"/>
      <c r="B455" s="29">
        <v>3120</v>
      </c>
      <c r="C455" s="30" t="s">
        <v>75</v>
      </c>
      <c r="D455" s="374">
        <f>D456+D457</f>
        <v>0</v>
      </c>
      <c r="E455" s="374">
        <f>E456+E457</f>
        <v>0</v>
      </c>
      <c r="F455" s="40">
        <f>F456+F457</f>
        <v>0</v>
      </c>
      <c r="G455" s="40">
        <f>G456+G457</f>
        <v>0</v>
      </c>
      <c r="H455" s="405"/>
      <c r="I455" s="406"/>
    </row>
    <row r="456" spans="1:9" ht="12.75" customHeight="1" hidden="1">
      <c r="A456" s="21"/>
      <c r="B456" s="29">
        <v>3121</v>
      </c>
      <c r="C456" s="30" t="s">
        <v>76</v>
      </c>
      <c r="D456" s="375"/>
      <c r="E456" s="375"/>
      <c r="F456" s="41"/>
      <c r="G456" s="41"/>
      <c r="H456" s="405"/>
      <c r="I456" s="406"/>
    </row>
    <row r="457" spans="1:9" ht="12.75" customHeight="1" hidden="1">
      <c r="A457" s="21"/>
      <c r="B457" s="29">
        <v>3122</v>
      </c>
      <c r="C457" s="30" t="s">
        <v>77</v>
      </c>
      <c r="D457" s="375"/>
      <c r="E457" s="375"/>
      <c r="F457" s="41"/>
      <c r="G457" s="41"/>
      <c r="H457" s="405"/>
      <c r="I457" s="406"/>
    </row>
    <row r="458" spans="1:9" ht="12.75" customHeight="1" hidden="1">
      <c r="A458" s="21"/>
      <c r="B458" s="29">
        <v>3130</v>
      </c>
      <c r="C458" s="30" t="s">
        <v>78</v>
      </c>
      <c r="D458" s="374">
        <f>D459+D460</f>
        <v>0</v>
      </c>
      <c r="E458" s="374">
        <f>E459+E460</f>
        <v>0</v>
      </c>
      <c r="F458" s="40">
        <f>F459+F460</f>
        <v>0</v>
      </c>
      <c r="G458" s="40">
        <f>G459+G460</f>
        <v>0</v>
      </c>
      <c r="H458" s="405"/>
      <c r="I458" s="406"/>
    </row>
    <row r="459" spans="1:9" ht="12.75" customHeight="1" hidden="1">
      <c r="A459" s="21"/>
      <c r="B459" s="29">
        <v>3131</v>
      </c>
      <c r="C459" s="30" t="s">
        <v>79</v>
      </c>
      <c r="D459" s="375"/>
      <c r="E459" s="375"/>
      <c r="F459" s="41"/>
      <c r="G459" s="41"/>
      <c r="H459" s="405"/>
      <c r="I459" s="406"/>
    </row>
    <row r="460" spans="1:9" ht="12.75" customHeight="1" hidden="1">
      <c r="A460" s="21"/>
      <c r="B460" s="29">
        <v>3132</v>
      </c>
      <c r="C460" s="30" t="s">
        <v>80</v>
      </c>
      <c r="D460" s="375"/>
      <c r="E460" s="375"/>
      <c r="F460" s="41"/>
      <c r="G460" s="41"/>
      <c r="H460" s="405"/>
      <c r="I460" s="406"/>
    </row>
    <row r="461" spans="1:9" ht="12.75" customHeight="1" hidden="1">
      <c r="A461" s="21"/>
      <c r="B461" s="29">
        <v>3140</v>
      </c>
      <c r="C461" s="30" t="s">
        <v>81</v>
      </c>
      <c r="D461" s="374">
        <f>D462+D463+D464</f>
        <v>0</v>
      </c>
      <c r="E461" s="374">
        <f>E462+E463+E464</f>
        <v>0</v>
      </c>
      <c r="F461" s="40">
        <f>F462+F463+F464</f>
        <v>0</v>
      </c>
      <c r="G461" s="40">
        <f>G462+G463+G464</f>
        <v>0</v>
      </c>
      <c r="H461" s="405"/>
      <c r="I461" s="406"/>
    </row>
    <row r="462" spans="1:9" ht="12.75" customHeight="1" hidden="1">
      <c r="A462" s="21"/>
      <c r="B462" s="29">
        <v>3141</v>
      </c>
      <c r="C462" s="30" t="s">
        <v>82</v>
      </c>
      <c r="D462" s="375"/>
      <c r="E462" s="375"/>
      <c r="F462" s="41"/>
      <c r="G462" s="41"/>
      <c r="H462" s="405"/>
      <c r="I462" s="406"/>
    </row>
    <row r="463" spans="1:9" ht="12.75" customHeight="1" hidden="1">
      <c r="A463" s="21"/>
      <c r="B463" s="29">
        <v>3142</v>
      </c>
      <c r="C463" s="30" t="s">
        <v>83</v>
      </c>
      <c r="D463" s="375"/>
      <c r="E463" s="375"/>
      <c r="F463" s="41"/>
      <c r="G463" s="41"/>
      <c r="H463" s="405"/>
      <c r="I463" s="406"/>
    </row>
    <row r="464" spans="1:9" ht="12.75" customHeight="1" hidden="1">
      <c r="A464" s="21"/>
      <c r="B464" s="29">
        <v>3143</v>
      </c>
      <c r="C464" s="30" t="s">
        <v>84</v>
      </c>
      <c r="D464" s="375"/>
      <c r="E464" s="375"/>
      <c r="F464" s="41"/>
      <c r="G464" s="41"/>
      <c r="H464" s="405"/>
      <c r="I464" s="406"/>
    </row>
    <row r="465" spans="1:9" ht="12.75" customHeight="1" hidden="1">
      <c r="A465" s="21"/>
      <c r="B465" s="29">
        <v>3150</v>
      </c>
      <c r="C465" s="30" t="s">
        <v>85</v>
      </c>
      <c r="D465" s="375"/>
      <c r="E465" s="375"/>
      <c r="F465" s="41"/>
      <c r="G465" s="41"/>
      <c r="H465" s="405"/>
      <c r="I465" s="406"/>
    </row>
    <row r="466" spans="1:9" ht="12.75" customHeight="1" hidden="1">
      <c r="A466" s="21"/>
      <c r="B466" s="29">
        <v>3160</v>
      </c>
      <c r="C466" s="30" t="s">
        <v>86</v>
      </c>
      <c r="D466" s="375"/>
      <c r="E466" s="375"/>
      <c r="F466" s="41"/>
      <c r="G466" s="41"/>
      <c r="H466" s="405"/>
      <c r="I466" s="406"/>
    </row>
    <row r="467" spans="1:9" ht="12.75" customHeight="1" hidden="1">
      <c r="A467" s="21"/>
      <c r="B467" s="27">
        <v>3200</v>
      </c>
      <c r="C467" s="28" t="s">
        <v>87</v>
      </c>
      <c r="D467" s="374">
        <f>D468+D469+D470+D471</f>
        <v>0</v>
      </c>
      <c r="E467" s="374">
        <f>E468+E469+E470+E471</f>
        <v>0</v>
      </c>
      <c r="F467" s="40">
        <f>F468+F469+F470+F471</f>
        <v>0</v>
      </c>
      <c r="G467" s="40">
        <f>G468+G469+G470+G471</f>
        <v>0</v>
      </c>
      <c r="H467" s="405"/>
      <c r="I467" s="406"/>
    </row>
    <row r="468" spans="1:9" ht="12.75" customHeight="1" hidden="1">
      <c r="A468" s="21"/>
      <c r="B468" s="29">
        <v>3210</v>
      </c>
      <c r="C468" s="30" t="s">
        <v>88</v>
      </c>
      <c r="D468" s="375"/>
      <c r="E468" s="375"/>
      <c r="F468" s="41"/>
      <c r="G468" s="41"/>
      <c r="H468" s="405"/>
      <c r="I468" s="406"/>
    </row>
    <row r="469" spans="1:9" ht="12.75" customHeight="1" hidden="1">
      <c r="A469" s="21"/>
      <c r="B469" s="29">
        <v>3220</v>
      </c>
      <c r="C469" s="30" t="s">
        <v>89</v>
      </c>
      <c r="D469" s="375"/>
      <c r="E469" s="375"/>
      <c r="F469" s="41"/>
      <c r="G469" s="41"/>
      <c r="H469" s="405"/>
      <c r="I469" s="406"/>
    </row>
    <row r="470" spans="1:9" ht="12.75" customHeight="1" hidden="1">
      <c r="A470" s="21"/>
      <c r="B470" s="29">
        <v>3230</v>
      </c>
      <c r="C470" s="30" t="s">
        <v>90</v>
      </c>
      <c r="D470" s="375"/>
      <c r="E470" s="375"/>
      <c r="F470" s="41"/>
      <c r="G470" s="41"/>
      <c r="H470" s="405"/>
      <c r="I470" s="406"/>
    </row>
    <row r="471" spans="1:9" ht="12.75" customHeight="1" hidden="1">
      <c r="A471" s="21"/>
      <c r="B471" s="29">
        <v>3240</v>
      </c>
      <c r="C471" s="30" t="s">
        <v>91</v>
      </c>
      <c r="D471" s="375"/>
      <c r="E471" s="375"/>
      <c r="F471" s="41"/>
      <c r="G471" s="41"/>
      <c r="H471" s="405"/>
      <c r="I471" s="406"/>
    </row>
    <row r="472" spans="1:10" s="19" customFormat="1" ht="12.75">
      <c r="A472" s="7"/>
      <c r="B472" s="7"/>
      <c r="C472" s="20" t="s">
        <v>3</v>
      </c>
      <c r="D472" s="372">
        <f>D417+D452</f>
        <v>15283.16</v>
      </c>
      <c r="E472" s="372">
        <f>E417+E452</f>
        <v>24068.7</v>
      </c>
      <c r="F472" s="34">
        <f>F417+F452</f>
        <v>14599.6</v>
      </c>
      <c r="G472" s="34">
        <f>G417+G452</f>
        <v>3000</v>
      </c>
      <c r="H472" s="407"/>
      <c r="I472" s="408"/>
      <c r="J472" s="353"/>
    </row>
    <row r="473" spans="2:10" s="37" customFormat="1" ht="12.75">
      <c r="B473" s="143">
        <v>1113240</v>
      </c>
      <c r="C473" s="145" t="s">
        <v>165</v>
      </c>
      <c r="D473" s="369">
        <f>D474+D531</f>
        <v>6581.01</v>
      </c>
      <c r="E473" s="369">
        <f>E474+E531</f>
        <v>8696.8</v>
      </c>
      <c r="F473" s="149">
        <f>F474+F531</f>
        <v>9165.5</v>
      </c>
      <c r="G473" s="149">
        <f>G474+G531</f>
        <v>2010</v>
      </c>
      <c r="H473" s="402"/>
      <c r="I473" s="402"/>
      <c r="J473" s="350"/>
    </row>
    <row r="474" spans="2:10" s="142" customFormat="1" ht="26.25">
      <c r="B474" s="144">
        <v>1113241</v>
      </c>
      <c r="C474" s="146" t="s">
        <v>172</v>
      </c>
      <c r="D474" s="377">
        <f>D475+D510</f>
        <v>6290.91</v>
      </c>
      <c r="E474" s="377">
        <f>E475+E510</f>
        <v>8103</v>
      </c>
      <c r="F474" s="124">
        <f>F475+F510</f>
        <v>8465.9</v>
      </c>
      <c r="G474" s="124">
        <f>G475+G510</f>
        <v>2010</v>
      </c>
      <c r="H474" s="402"/>
      <c r="I474" s="402"/>
      <c r="J474" s="355"/>
    </row>
    <row r="475" spans="1:9" ht="12.75">
      <c r="A475" s="6"/>
      <c r="B475" s="27">
        <v>2000</v>
      </c>
      <c r="C475" s="28" t="s">
        <v>37</v>
      </c>
      <c r="D475" s="370">
        <f>D476+D481+D498+D501+D505+D509</f>
        <v>6241.0599999999995</v>
      </c>
      <c r="E475" s="370">
        <f>E476+E481+E498+E501+E505+E509</f>
        <v>7890.5</v>
      </c>
      <c r="F475" s="33">
        <f>F476+F481+F498+F501+F505+F509</f>
        <v>8465.9</v>
      </c>
      <c r="G475" s="33">
        <f>G476+G481+G498+G501+G505+G509</f>
        <v>1940</v>
      </c>
      <c r="H475" s="402"/>
      <c r="I475" s="402"/>
    </row>
    <row r="476" spans="1:9" ht="12.75">
      <c r="A476" s="6"/>
      <c r="B476" s="29">
        <v>2100</v>
      </c>
      <c r="C476" s="30" t="s">
        <v>38</v>
      </c>
      <c r="D476" s="371">
        <f>D477+D480</f>
        <v>3329.99</v>
      </c>
      <c r="E476" s="371">
        <f>E477+E480</f>
        <v>4332.838</v>
      </c>
      <c r="F476" s="35">
        <f>F477+F480</f>
        <v>4734.9</v>
      </c>
      <c r="G476" s="35">
        <f>G477+G480</f>
        <v>595.6</v>
      </c>
      <c r="H476" s="403" t="s">
        <v>594</v>
      </c>
      <c r="I476" s="404"/>
    </row>
    <row r="477" spans="1:9" ht="12.75">
      <c r="A477" s="6"/>
      <c r="B477" s="29">
        <v>2110</v>
      </c>
      <c r="C477" s="30" t="s">
        <v>39</v>
      </c>
      <c r="D477" s="371">
        <f>D478+D479</f>
        <v>2751.35</v>
      </c>
      <c r="E477" s="371">
        <f>E478+E479</f>
        <v>3551.5</v>
      </c>
      <c r="F477" s="35">
        <f>F478+F479</f>
        <v>3881.1</v>
      </c>
      <c r="G477" s="35">
        <f>G478+G479</f>
        <v>488.2</v>
      </c>
      <c r="H477" s="405"/>
      <c r="I477" s="406"/>
    </row>
    <row r="478" spans="1:9" ht="12.75">
      <c r="A478" s="6"/>
      <c r="B478" s="29">
        <v>2111</v>
      </c>
      <c r="C478" s="30" t="s">
        <v>42</v>
      </c>
      <c r="D478" s="372">
        <v>2751.35</v>
      </c>
      <c r="E478" s="372">
        <v>3551.5</v>
      </c>
      <c r="F478" s="34">
        <v>3881.1</v>
      </c>
      <c r="G478" s="34">
        <f>488.2</f>
        <v>488.2</v>
      </c>
      <c r="H478" s="405"/>
      <c r="I478" s="406"/>
    </row>
    <row r="479" spans="1:9" ht="12.75" customHeight="1" hidden="1">
      <c r="A479" s="6"/>
      <c r="B479" s="29">
        <v>2112</v>
      </c>
      <c r="C479" s="30" t="s">
        <v>43</v>
      </c>
      <c r="D479" s="372">
        <v>0</v>
      </c>
      <c r="E479" s="372">
        <v>0</v>
      </c>
      <c r="F479" s="34">
        <v>0</v>
      </c>
      <c r="G479" s="34"/>
      <c r="H479" s="405"/>
      <c r="I479" s="406"/>
    </row>
    <row r="480" spans="1:9" ht="12.75">
      <c r="A480" s="6"/>
      <c r="B480" s="29">
        <v>2120</v>
      </c>
      <c r="C480" s="30" t="s">
        <v>44</v>
      </c>
      <c r="D480" s="372">
        <v>578.64</v>
      </c>
      <c r="E480" s="372">
        <v>781.338</v>
      </c>
      <c r="F480" s="34">
        <v>853.8</v>
      </c>
      <c r="G480" s="34">
        <f>107.4</f>
        <v>107.4</v>
      </c>
      <c r="H480" s="407"/>
      <c r="I480" s="408"/>
    </row>
    <row r="481" spans="1:9" ht="12.75">
      <c r="A481" s="6"/>
      <c r="B481" s="27">
        <v>2200</v>
      </c>
      <c r="C481" s="28" t="s">
        <v>45</v>
      </c>
      <c r="D481" s="370">
        <f>SUM(D482:D488)+D495</f>
        <v>2910.1099999999997</v>
      </c>
      <c r="E481" s="370">
        <f>SUM(E482:E488)+E495</f>
        <v>3552.562</v>
      </c>
      <c r="F481" s="33">
        <f>SUM(F482:F488)+F495</f>
        <v>3725.7999999999997</v>
      </c>
      <c r="G481" s="33">
        <f>SUM(G482:G488)+G495</f>
        <v>1344.4</v>
      </c>
      <c r="H481" s="402"/>
      <c r="I481" s="402"/>
    </row>
    <row r="482" spans="1:9" ht="12.75">
      <c r="A482" s="6"/>
      <c r="B482" s="29">
        <v>2210</v>
      </c>
      <c r="C482" s="30" t="s">
        <v>46</v>
      </c>
      <c r="D482" s="372">
        <v>719.27</v>
      </c>
      <c r="E482" s="372">
        <v>706.7</v>
      </c>
      <c r="F482" s="34">
        <v>528.9000000000001</v>
      </c>
      <c r="G482" s="34"/>
      <c r="H482" s="402"/>
      <c r="I482" s="402"/>
    </row>
    <row r="483" spans="1:9" ht="12.75">
      <c r="A483" s="6"/>
      <c r="B483" s="29">
        <v>2220</v>
      </c>
      <c r="C483" s="30" t="s">
        <v>47</v>
      </c>
      <c r="D483" s="372">
        <v>24.79</v>
      </c>
      <c r="E483" s="372">
        <v>28.3</v>
      </c>
      <c r="F483" s="34">
        <v>29.8</v>
      </c>
      <c r="G483" s="34"/>
      <c r="H483" s="402"/>
      <c r="I483" s="402"/>
    </row>
    <row r="484" spans="1:9" ht="40.5" customHeight="1">
      <c r="A484" s="6"/>
      <c r="B484" s="29">
        <v>2230</v>
      </c>
      <c r="C484" s="30" t="s">
        <v>48</v>
      </c>
      <c r="D484" s="372">
        <v>1077.3</v>
      </c>
      <c r="E484" s="372">
        <v>1394.8</v>
      </c>
      <c r="F484" s="34">
        <v>1585.8</v>
      </c>
      <c r="G484" s="34">
        <v>732.5</v>
      </c>
      <c r="H484" s="403" t="s">
        <v>606</v>
      </c>
      <c r="I484" s="404"/>
    </row>
    <row r="485" spans="1:9" ht="40.5" customHeight="1">
      <c r="A485" s="6"/>
      <c r="B485" s="29">
        <v>2240</v>
      </c>
      <c r="C485" s="30" t="s">
        <v>49</v>
      </c>
      <c r="D485" s="372">
        <v>262.93</v>
      </c>
      <c r="E485" s="372">
        <v>362.062</v>
      </c>
      <c r="F485" s="34">
        <v>384.79999999999995</v>
      </c>
      <c r="G485" s="34">
        <f>306+50</f>
        <v>356</v>
      </c>
      <c r="H485" s="407"/>
      <c r="I485" s="408"/>
    </row>
    <row r="486" spans="1:9" ht="12.75">
      <c r="A486" s="6"/>
      <c r="B486" s="29">
        <v>2250</v>
      </c>
      <c r="C486" s="30" t="s">
        <v>50</v>
      </c>
      <c r="D486" s="372">
        <v>10.7</v>
      </c>
      <c r="E486" s="372">
        <v>24.6</v>
      </c>
      <c r="F486" s="34">
        <v>48.199999999999996</v>
      </c>
      <c r="G486" s="34"/>
      <c r="H486" s="402"/>
      <c r="I486" s="402"/>
    </row>
    <row r="487" spans="1:9" ht="12.75" customHeight="1" hidden="1">
      <c r="A487" s="6"/>
      <c r="B487" s="29">
        <v>2260</v>
      </c>
      <c r="C487" s="30" t="s">
        <v>51</v>
      </c>
      <c r="D487" s="372"/>
      <c r="E487" s="372"/>
      <c r="F487" s="34"/>
      <c r="G487" s="34"/>
      <c r="H487" s="402"/>
      <c r="I487" s="402"/>
    </row>
    <row r="488" spans="1:9" ht="12.75">
      <c r="A488" s="6"/>
      <c r="B488" s="27">
        <v>2270</v>
      </c>
      <c r="C488" s="28" t="s">
        <v>52</v>
      </c>
      <c r="D488" s="370">
        <f>D489+D490+D491+D492+D493+D494</f>
        <v>815.12</v>
      </c>
      <c r="E488" s="370">
        <f>E489+E490+E491+E492+E493+E494</f>
        <v>1014.9</v>
      </c>
      <c r="F488" s="33">
        <f>F489+F490+F491+F492+F493+F494</f>
        <v>1117.1</v>
      </c>
      <c r="G488" s="33">
        <f>G489+G490+G491+G492+G493+G494</f>
        <v>255.89999999999998</v>
      </c>
      <c r="H488" s="403" t="s">
        <v>594</v>
      </c>
      <c r="I488" s="404"/>
    </row>
    <row r="489" spans="1:9" ht="12.75">
      <c r="A489" s="6"/>
      <c r="B489" s="29">
        <v>2271</v>
      </c>
      <c r="C489" s="30" t="s">
        <v>53</v>
      </c>
      <c r="D489" s="372">
        <v>369.13</v>
      </c>
      <c r="E489" s="372">
        <v>492.8</v>
      </c>
      <c r="F489" s="34">
        <v>535.8</v>
      </c>
      <c r="G489" s="34"/>
      <c r="H489" s="405"/>
      <c r="I489" s="406"/>
    </row>
    <row r="490" spans="1:9" ht="12.75">
      <c r="A490" s="6"/>
      <c r="B490" s="29">
        <v>2272</v>
      </c>
      <c r="C490" s="30" t="s">
        <v>54</v>
      </c>
      <c r="D490" s="372">
        <v>36.8</v>
      </c>
      <c r="E490" s="372">
        <v>70.7</v>
      </c>
      <c r="F490" s="34">
        <v>120.19999999999999</v>
      </c>
      <c r="G490" s="34">
        <v>70.6</v>
      </c>
      <c r="H490" s="405"/>
      <c r="I490" s="406"/>
    </row>
    <row r="491" spans="1:9" ht="12.75">
      <c r="A491" s="6"/>
      <c r="B491" s="29">
        <v>2273</v>
      </c>
      <c r="C491" s="30" t="s">
        <v>55</v>
      </c>
      <c r="D491" s="372">
        <v>369.28</v>
      </c>
      <c r="E491" s="372">
        <v>407.8</v>
      </c>
      <c r="F491" s="34">
        <v>412.5</v>
      </c>
      <c r="G491" s="34">
        <v>113.3</v>
      </c>
      <c r="H491" s="405"/>
      <c r="I491" s="406"/>
    </row>
    <row r="492" spans="1:9" ht="12.75" customHeight="1" hidden="1">
      <c r="A492" s="6"/>
      <c r="B492" s="29">
        <v>2274</v>
      </c>
      <c r="C492" s="30" t="s">
        <v>56</v>
      </c>
      <c r="D492" s="372">
        <v>0</v>
      </c>
      <c r="E492" s="372">
        <v>0</v>
      </c>
      <c r="F492" s="34">
        <v>0</v>
      </c>
      <c r="G492" s="34"/>
      <c r="H492" s="405"/>
      <c r="I492" s="406"/>
    </row>
    <row r="493" spans="1:9" ht="12.75">
      <c r="A493" s="6"/>
      <c r="B493" s="29">
        <v>2275</v>
      </c>
      <c r="C493" s="30" t="s">
        <v>57</v>
      </c>
      <c r="D493" s="372">
        <v>39.91</v>
      </c>
      <c r="E493" s="372">
        <v>43.6</v>
      </c>
      <c r="F493" s="34">
        <v>48.6</v>
      </c>
      <c r="G493" s="34">
        <v>72</v>
      </c>
      <c r="H493" s="407"/>
      <c r="I493" s="408"/>
    </row>
    <row r="494" spans="1:9" ht="12.75" customHeight="1" hidden="1">
      <c r="A494" s="6"/>
      <c r="B494" s="31">
        <v>2276</v>
      </c>
      <c r="C494" s="32" t="s">
        <v>58</v>
      </c>
      <c r="D494" s="372"/>
      <c r="E494" s="372"/>
      <c r="F494" s="34"/>
      <c r="G494" s="34"/>
      <c r="H494" s="402"/>
      <c r="I494" s="402"/>
    </row>
    <row r="495" spans="1:9" ht="12.75">
      <c r="A495" s="6"/>
      <c r="B495" s="27">
        <v>2280</v>
      </c>
      <c r="C495" s="28" t="s">
        <v>59</v>
      </c>
      <c r="D495" s="370">
        <f>D496+D497</f>
        <v>0</v>
      </c>
      <c r="E495" s="370">
        <f>E496+E497</f>
        <v>21.2</v>
      </c>
      <c r="F495" s="33">
        <f>F496+F497</f>
        <v>31.2</v>
      </c>
      <c r="G495" s="33">
        <f>G496+G497</f>
        <v>0</v>
      </c>
      <c r="H495" s="402"/>
      <c r="I495" s="402"/>
    </row>
    <row r="496" spans="1:9" ht="12.75" customHeight="1" hidden="1">
      <c r="A496" s="6"/>
      <c r="B496" s="29">
        <v>2281</v>
      </c>
      <c r="C496" s="30" t="s">
        <v>60</v>
      </c>
      <c r="D496" s="372"/>
      <c r="E496" s="372"/>
      <c r="F496" s="34"/>
      <c r="G496" s="34"/>
      <c r="H496" s="402"/>
      <c r="I496" s="402"/>
    </row>
    <row r="497" spans="1:9" ht="12.75">
      <c r="A497" s="6"/>
      <c r="B497" s="29">
        <v>2282</v>
      </c>
      <c r="C497" s="30" t="s">
        <v>61</v>
      </c>
      <c r="D497" s="372">
        <v>0</v>
      </c>
      <c r="E497" s="372">
        <v>21.2</v>
      </c>
      <c r="F497" s="34">
        <v>31.2</v>
      </c>
      <c r="G497" s="34"/>
      <c r="H497" s="402"/>
      <c r="I497" s="402"/>
    </row>
    <row r="498" spans="1:9" ht="12.75" customHeight="1" hidden="1">
      <c r="A498" s="6"/>
      <c r="B498" s="27">
        <v>2400</v>
      </c>
      <c r="C498" s="28" t="s">
        <v>62</v>
      </c>
      <c r="D498" s="372">
        <f>D499+D500</f>
        <v>0</v>
      </c>
      <c r="E498" s="372">
        <f>E499+E500</f>
        <v>0</v>
      </c>
      <c r="F498" s="34">
        <f>F499+F500</f>
        <v>0</v>
      </c>
      <c r="G498" s="34">
        <f>G499+G500</f>
        <v>0</v>
      </c>
      <c r="H498" s="402"/>
      <c r="I498" s="402"/>
    </row>
    <row r="499" spans="1:9" ht="12.75" customHeight="1" hidden="1">
      <c r="A499" s="6"/>
      <c r="B499" s="29">
        <v>2410</v>
      </c>
      <c r="C499" s="30" t="s">
        <v>63</v>
      </c>
      <c r="D499" s="372"/>
      <c r="E499" s="372"/>
      <c r="F499" s="34"/>
      <c r="G499" s="34"/>
      <c r="H499" s="402"/>
      <c r="I499" s="402"/>
    </row>
    <row r="500" spans="1:9" ht="12.75" customHeight="1" hidden="1">
      <c r="A500" s="6"/>
      <c r="B500" s="29">
        <v>2420</v>
      </c>
      <c r="C500" s="30" t="s">
        <v>64</v>
      </c>
      <c r="D500" s="372"/>
      <c r="E500" s="372"/>
      <c r="F500" s="34"/>
      <c r="G500" s="34"/>
      <c r="H500" s="402"/>
      <c r="I500" s="402"/>
    </row>
    <row r="501" spans="1:9" ht="12.75" customHeight="1" hidden="1">
      <c r="A501" s="6"/>
      <c r="B501" s="27">
        <v>2600</v>
      </c>
      <c r="C501" s="28" t="s">
        <v>65</v>
      </c>
      <c r="D501" s="370">
        <f>D502+D503+D504</f>
        <v>0</v>
      </c>
      <c r="E501" s="370">
        <f>E502+E503+E504</f>
        <v>0</v>
      </c>
      <c r="F501" s="33">
        <f>F502+F503+F504</f>
        <v>0</v>
      </c>
      <c r="G501" s="33">
        <f>G502+G503+G504</f>
        <v>0</v>
      </c>
      <c r="H501" s="402"/>
      <c r="I501" s="402"/>
    </row>
    <row r="502" spans="1:9" ht="12.75" customHeight="1" hidden="1">
      <c r="A502" s="6"/>
      <c r="B502" s="29">
        <v>2610</v>
      </c>
      <c r="C502" s="30" t="s">
        <v>66</v>
      </c>
      <c r="D502" s="372"/>
      <c r="E502" s="372"/>
      <c r="F502" s="34"/>
      <c r="G502" s="34"/>
      <c r="H502" s="402"/>
      <c r="I502" s="402"/>
    </row>
    <row r="503" spans="1:9" ht="12.75" customHeight="1" hidden="1">
      <c r="A503" s="6"/>
      <c r="B503" s="29">
        <v>2620</v>
      </c>
      <c r="C503" s="30" t="s">
        <v>67</v>
      </c>
      <c r="D503" s="372"/>
      <c r="E503" s="372"/>
      <c r="F503" s="34"/>
      <c r="G503" s="34"/>
      <c r="H503" s="402"/>
      <c r="I503" s="402"/>
    </row>
    <row r="504" spans="1:9" ht="12.75" customHeight="1" hidden="1">
      <c r="A504" s="6"/>
      <c r="B504" s="29">
        <v>2630</v>
      </c>
      <c r="C504" s="30" t="s">
        <v>68</v>
      </c>
      <c r="D504" s="372"/>
      <c r="E504" s="372"/>
      <c r="F504" s="34"/>
      <c r="G504" s="34"/>
      <c r="H504" s="402"/>
      <c r="I504" s="402"/>
    </row>
    <row r="505" spans="1:9" ht="12.75" customHeight="1" hidden="1">
      <c r="A505" s="6"/>
      <c r="B505" s="27">
        <v>2700</v>
      </c>
      <c r="C505" s="28" t="s">
        <v>69</v>
      </c>
      <c r="D505" s="370">
        <f>D506+D507+D508</f>
        <v>0</v>
      </c>
      <c r="E505" s="370">
        <f>E506+E507+E508</f>
        <v>0</v>
      </c>
      <c r="F505" s="33">
        <f>F506+F507+F508</f>
        <v>0</v>
      </c>
      <c r="G505" s="33">
        <f>G506+G507+G508</f>
        <v>0</v>
      </c>
      <c r="H505" s="402"/>
      <c r="I505" s="402"/>
    </row>
    <row r="506" spans="1:9" ht="12.75" customHeight="1" hidden="1">
      <c r="A506" s="6"/>
      <c r="B506" s="29">
        <v>2710</v>
      </c>
      <c r="C506" s="30" t="s">
        <v>70</v>
      </c>
      <c r="D506" s="373"/>
      <c r="E506" s="373"/>
      <c r="F506" s="42"/>
      <c r="G506" s="42"/>
      <c r="H506" s="402"/>
      <c r="I506" s="402"/>
    </row>
    <row r="507" spans="1:9" ht="12.75" customHeight="1" hidden="1">
      <c r="A507" s="6"/>
      <c r="B507" s="29">
        <v>2720</v>
      </c>
      <c r="C507" s="30" t="s">
        <v>71</v>
      </c>
      <c r="D507" s="373"/>
      <c r="E507" s="373"/>
      <c r="F507" s="34"/>
      <c r="G507" s="42"/>
      <c r="H507" s="402"/>
      <c r="I507" s="402"/>
    </row>
    <row r="508" spans="1:9" ht="12.75" customHeight="1" hidden="1">
      <c r="A508" s="6"/>
      <c r="B508" s="29">
        <v>2730</v>
      </c>
      <c r="C508" s="30" t="s">
        <v>72</v>
      </c>
      <c r="D508" s="373"/>
      <c r="E508" s="373"/>
      <c r="F508" s="34"/>
      <c r="G508" s="42"/>
      <c r="H508" s="402"/>
      <c r="I508" s="402"/>
    </row>
    <row r="509" spans="1:9" ht="12.75">
      <c r="A509" s="6"/>
      <c r="B509" s="27">
        <v>2800</v>
      </c>
      <c r="C509" s="28" t="s">
        <v>73</v>
      </c>
      <c r="D509" s="372">
        <v>0.96</v>
      </c>
      <c r="E509" s="372">
        <v>5.1</v>
      </c>
      <c r="F509" s="34">
        <v>5.2</v>
      </c>
      <c r="G509" s="42"/>
      <c r="H509" s="402"/>
      <c r="I509" s="402"/>
    </row>
    <row r="510" spans="1:9" ht="12.75">
      <c r="A510" s="21"/>
      <c r="B510" s="27">
        <v>3000</v>
      </c>
      <c r="C510" s="28" t="s">
        <v>40</v>
      </c>
      <c r="D510" s="374">
        <f>D511+D525</f>
        <v>49.85</v>
      </c>
      <c r="E510" s="374">
        <f>E511+E525</f>
        <v>212.5</v>
      </c>
      <c r="F510" s="40">
        <f>F511+F525</f>
        <v>0</v>
      </c>
      <c r="G510" s="40">
        <f>G511+G525</f>
        <v>70</v>
      </c>
      <c r="H510" s="403" t="s">
        <v>607</v>
      </c>
      <c r="I510" s="404"/>
    </row>
    <row r="511" spans="1:9" ht="12.75">
      <c r="A511" s="21"/>
      <c r="B511" s="27">
        <v>3100</v>
      </c>
      <c r="C511" s="28" t="s">
        <v>41</v>
      </c>
      <c r="D511" s="374">
        <f>D512+D513+D516+D519+D523+D524+D525</f>
        <v>49.85</v>
      </c>
      <c r="E511" s="374">
        <f>E512+E513+E516+E519+E523+E524+E525</f>
        <v>212.5</v>
      </c>
      <c r="F511" s="40">
        <f>F512+F513+F516+F519+F523+F524+F525</f>
        <v>0</v>
      </c>
      <c r="G511" s="40">
        <f>G512+G513+G516+G519+G523+G524+G525</f>
        <v>70</v>
      </c>
      <c r="H511" s="405"/>
      <c r="I511" s="406"/>
    </row>
    <row r="512" spans="1:9" ht="12.75">
      <c r="A512" s="21"/>
      <c r="B512" s="29">
        <v>3110</v>
      </c>
      <c r="C512" s="30" t="s">
        <v>74</v>
      </c>
      <c r="D512" s="373"/>
      <c r="E512" s="373">
        <v>212.5</v>
      </c>
      <c r="F512" s="41"/>
      <c r="G512" s="41">
        <v>70</v>
      </c>
      <c r="H512" s="407"/>
      <c r="I512" s="408"/>
    </row>
    <row r="513" spans="1:9" ht="12.75" customHeight="1" hidden="1">
      <c r="A513" s="21"/>
      <c r="B513" s="29">
        <v>3120</v>
      </c>
      <c r="C513" s="30" t="s">
        <v>75</v>
      </c>
      <c r="D513" s="374">
        <f>D514+D515</f>
        <v>0</v>
      </c>
      <c r="E513" s="374">
        <f>E514+E515</f>
        <v>0</v>
      </c>
      <c r="F513" s="40">
        <f>F514+F515</f>
        <v>0</v>
      </c>
      <c r="G513" s="40">
        <f>G514+G515</f>
        <v>0</v>
      </c>
      <c r="H513" s="402"/>
      <c r="I513" s="402"/>
    </row>
    <row r="514" spans="1:9" ht="12.75" customHeight="1" hidden="1">
      <c r="A514" s="21"/>
      <c r="B514" s="29">
        <v>3121</v>
      </c>
      <c r="C514" s="30" t="s">
        <v>76</v>
      </c>
      <c r="D514" s="375"/>
      <c r="E514" s="375"/>
      <c r="F514" s="41"/>
      <c r="G514" s="41"/>
      <c r="H514" s="402"/>
      <c r="I514" s="402"/>
    </row>
    <row r="515" spans="1:9" ht="12.75" customHeight="1" hidden="1">
      <c r="A515" s="21"/>
      <c r="B515" s="29">
        <v>3122</v>
      </c>
      <c r="C515" s="30" t="s">
        <v>77</v>
      </c>
      <c r="D515" s="375"/>
      <c r="E515" s="375"/>
      <c r="F515" s="41"/>
      <c r="G515" s="41"/>
      <c r="H515" s="402"/>
      <c r="I515" s="402"/>
    </row>
    <row r="516" spans="1:9" ht="12.75" customHeight="1" hidden="1">
      <c r="A516" s="21"/>
      <c r="B516" s="29">
        <v>3130</v>
      </c>
      <c r="C516" s="30" t="s">
        <v>78</v>
      </c>
      <c r="D516" s="374">
        <f>D517+D518</f>
        <v>0</v>
      </c>
      <c r="E516" s="374">
        <f>E517+E518</f>
        <v>0</v>
      </c>
      <c r="F516" s="40">
        <f>F517+F518</f>
        <v>0</v>
      </c>
      <c r="G516" s="40">
        <f>G517+G518</f>
        <v>0</v>
      </c>
      <c r="H516" s="402"/>
      <c r="I516" s="402"/>
    </row>
    <row r="517" spans="1:9" ht="12.75" customHeight="1" hidden="1">
      <c r="A517" s="21"/>
      <c r="B517" s="29">
        <v>3131</v>
      </c>
      <c r="C517" s="30" t="s">
        <v>79</v>
      </c>
      <c r="D517" s="375"/>
      <c r="E517" s="375"/>
      <c r="F517" s="41"/>
      <c r="G517" s="41"/>
      <c r="H517" s="402"/>
      <c r="I517" s="402"/>
    </row>
    <row r="518" spans="1:9" ht="12.75" customHeight="1" hidden="1">
      <c r="A518" s="21"/>
      <c r="B518" s="29">
        <v>3132</v>
      </c>
      <c r="C518" s="30" t="s">
        <v>80</v>
      </c>
      <c r="D518" s="375"/>
      <c r="E518" s="375"/>
      <c r="F518" s="41"/>
      <c r="G518" s="41"/>
      <c r="H518" s="402"/>
      <c r="I518" s="402"/>
    </row>
    <row r="519" spans="1:9" ht="12.75" customHeight="1">
      <c r="A519" s="21"/>
      <c r="B519" s="29">
        <v>3140</v>
      </c>
      <c r="C519" s="30" t="s">
        <v>81</v>
      </c>
      <c r="D519" s="374">
        <f>D520+D521+D522</f>
        <v>49.85</v>
      </c>
      <c r="E519" s="374">
        <f>E520+E521+E522</f>
        <v>0</v>
      </c>
      <c r="F519" s="40">
        <f>F520+F521+F522</f>
        <v>0</v>
      </c>
      <c r="G519" s="40">
        <f>G520+G521+G522</f>
        <v>0</v>
      </c>
      <c r="H519" s="402"/>
      <c r="I519" s="402"/>
    </row>
    <row r="520" spans="1:9" ht="12.75" customHeight="1" hidden="1">
      <c r="A520" s="21"/>
      <c r="B520" s="29">
        <v>3141</v>
      </c>
      <c r="C520" s="30" t="s">
        <v>82</v>
      </c>
      <c r="D520" s="375"/>
      <c r="E520" s="375"/>
      <c r="F520" s="41"/>
      <c r="G520" s="41"/>
      <c r="H520" s="402"/>
      <c r="I520" s="402"/>
    </row>
    <row r="521" spans="1:9" ht="12.75" customHeight="1">
      <c r="A521" s="21"/>
      <c r="B521" s="29">
        <v>3142</v>
      </c>
      <c r="C521" s="30" t="s">
        <v>83</v>
      </c>
      <c r="D521" s="373">
        <v>49.85</v>
      </c>
      <c r="E521" s="375"/>
      <c r="F521" s="41"/>
      <c r="G521" s="41"/>
      <c r="H521" s="402"/>
      <c r="I521" s="402"/>
    </row>
    <row r="522" spans="1:9" ht="12.75" customHeight="1" hidden="1">
      <c r="A522" s="21"/>
      <c r="B522" s="29">
        <v>3143</v>
      </c>
      <c r="C522" s="30" t="s">
        <v>84</v>
      </c>
      <c r="D522" s="375"/>
      <c r="E522" s="375"/>
      <c r="F522" s="41"/>
      <c r="G522" s="41"/>
      <c r="H522" s="402"/>
      <c r="I522" s="402"/>
    </row>
    <row r="523" spans="1:9" ht="12.75" customHeight="1" hidden="1">
      <c r="A523" s="21"/>
      <c r="B523" s="29">
        <v>3150</v>
      </c>
      <c r="C523" s="30" t="s">
        <v>85</v>
      </c>
      <c r="D523" s="375"/>
      <c r="E523" s="375"/>
      <c r="F523" s="41"/>
      <c r="G523" s="41"/>
      <c r="H523" s="402"/>
      <c r="I523" s="402"/>
    </row>
    <row r="524" spans="1:9" ht="12.75" customHeight="1" hidden="1">
      <c r="A524" s="21"/>
      <c r="B524" s="29">
        <v>3160</v>
      </c>
      <c r="C524" s="30" t="s">
        <v>86</v>
      </c>
      <c r="D524" s="375"/>
      <c r="E524" s="375"/>
      <c r="F524" s="41"/>
      <c r="G524" s="41"/>
      <c r="H524" s="402"/>
      <c r="I524" s="402"/>
    </row>
    <row r="525" spans="1:9" ht="12.75" customHeight="1" hidden="1">
      <c r="A525" s="21"/>
      <c r="B525" s="27">
        <v>3200</v>
      </c>
      <c r="C525" s="28" t="s">
        <v>87</v>
      </c>
      <c r="D525" s="374">
        <f>D526+D527+D528+D529</f>
        <v>0</v>
      </c>
      <c r="E525" s="374">
        <f>E526+E527+E528+E529</f>
        <v>0</v>
      </c>
      <c r="F525" s="40">
        <f>F526+F527+F528+F529</f>
        <v>0</v>
      </c>
      <c r="G525" s="40">
        <f>G526+G527+G528+G529</f>
        <v>0</v>
      </c>
      <c r="H525" s="402"/>
      <c r="I525" s="402"/>
    </row>
    <row r="526" spans="1:9" ht="12.75" customHeight="1" hidden="1">
      <c r="A526" s="21"/>
      <c r="B526" s="29">
        <v>3210</v>
      </c>
      <c r="C526" s="30" t="s">
        <v>88</v>
      </c>
      <c r="D526" s="375"/>
      <c r="E526" s="375"/>
      <c r="F526" s="41"/>
      <c r="G526" s="41"/>
      <c r="H526" s="402"/>
      <c r="I526" s="402"/>
    </row>
    <row r="527" spans="1:9" ht="12.75" customHeight="1" hidden="1">
      <c r="A527" s="21"/>
      <c r="B527" s="29">
        <v>3220</v>
      </c>
      <c r="C527" s="30" t="s">
        <v>89</v>
      </c>
      <c r="D527" s="375"/>
      <c r="E527" s="375"/>
      <c r="F527" s="41"/>
      <c r="G527" s="41"/>
      <c r="H527" s="402"/>
      <c r="I527" s="402"/>
    </row>
    <row r="528" spans="1:9" ht="12.75" customHeight="1" hidden="1">
      <c r="A528" s="21"/>
      <c r="B528" s="29">
        <v>3230</v>
      </c>
      <c r="C528" s="30" t="s">
        <v>90</v>
      </c>
      <c r="D528" s="375"/>
      <c r="E528" s="375"/>
      <c r="F528" s="41"/>
      <c r="G528" s="41"/>
      <c r="H528" s="402"/>
      <c r="I528" s="402"/>
    </row>
    <row r="529" spans="1:9" ht="12.75" customHeight="1" hidden="1">
      <c r="A529" s="21"/>
      <c r="B529" s="29">
        <v>3240</v>
      </c>
      <c r="C529" s="30" t="s">
        <v>91</v>
      </c>
      <c r="D529" s="375"/>
      <c r="E529" s="375"/>
      <c r="F529" s="41"/>
      <c r="G529" s="41"/>
      <c r="H529" s="402"/>
      <c r="I529" s="402"/>
    </row>
    <row r="530" spans="1:10" s="19" customFormat="1" ht="12.75">
      <c r="A530" s="7"/>
      <c r="B530" s="7"/>
      <c r="C530" s="20" t="s">
        <v>3</v>
      </c>
      <c r="D530" s="372">
        <f>D475+D510</f>
        <v>6290.91</v>
      </c>
      <c r="E530" s="372">
        <f>E475+E510</f>
        <v>8103</v>
      </c>
      <c r="F530" s="34">
        <f>F475+F510</f>
        <v>8465.9</v>
      </c>
      <c r="G530" s="34">
        <f>G475+G510</f>
        <v>2010</v>
      </c>
      <c r="H530" s="402"/>
      <c r="I530" s="402"/>
      <c r="J530" s="353"/>
    </row>
    <row r="531" spans="2:10" s="147" customFormat="1" ht="12.75">
      <c r="B531" s="148">
        <v>1113242</v>
      </c>
      <c r="C531" s="150" t="s">
        <v>173</v>
      </c>
      <c r="D531" s="377">
        <f>D532+D567</f>
        <v>290.1</v>
      </c>
      <c r="E531" s="377">
        <f>E532+E567</f>
        <v>593.8</v>
      </c>
      <c r="F531" s="124">
        <f>F532+F567</f>
        <v>699.6</v>
      </c>
      <c r="G531" s="124">
        <f>G532+G567</f>
        <v>0</v>
      </c>
      <c r="H531" s="402"/>
      <c r="I531" s="402"/>
      <c r="J531" s="355"/>
    </row>
    <row r="532" spans="1:9" ht="12.75">
      <c r="A532" s="6"/>
      <c r="B532" s="27">
        <v>2000</v>
      </c>
      <c r="C532" s="28" t="s">
        <v>37</v>
      </c>
      <c r="D532" s="370">
        <f>D533+D538+D555+D558+D562+D566</f>
        <v>290.1</v>
      </c>
      <c r="E532" s="370">
        <f>E533+E538+E555+E558+E562+E566</f>
        <v>593.8</v>
      </c>
      <c r="F532" s="33">
        <f>F533+F538+F555+F558+F562+F566</f>
        <v>699.6</v>
      </c>
      <c r="G532" s="33">
        <f>G533+G538+G555+G558+G562+G566</f>
        <v>0</v>
      </c>
      <c r="H532" s="402"/>
      <c r="I532" s="402"/>
    </row>
    <row r="533" spans="1:9" ht="12.75" customHeight="1" hidden="1">
      <c r="A533" s="6"/>
      <c r="B533" s="29">
        <v>2100</v>
      </c>
      <c r="C533" s="30" t="s">
        <v>38</v>
      </c>
      <c r="D533" s="371">
        <f>D534+D537</f>
        <v>0</v>
      </c>
      <c r="E533" s="371">
        <f>E534+E537</f>
        <v>0</v>
      </c>
      <c r="F533" s="35">
        <f>F534+F537</f>
        <v>0</v>
      </c>
      <c r="G533" s="35">
        <f>G534+G537</f>
        <v>0</v>
      </c>
      <c r="H533" s="402"/>
      <c r="I533" s="402"/>
    </row>
    <row r="534" spans="1:9" ht="12.75" customHeight="1" hidden="1">
      <c r="A534" s="6"/>
      <c r="B534" s="29">
        <v>2110</v>
      </c>
      <c r="C534" s="30" t="s">
        <v>39</v>
      </c>
      <c r="D534" s="371">
        <f>D535+D536</f>
        <v>0</v>
      </c>
      <c r="E534" s="371">
        <f>E535+E536</f>
        <v>0</v>
      </c>
      <c r="F534" s="35">
        <f>F535+F536</f>
        <v>0</v>
      </c>
      <c r="G534" s="35">
        <f>G535+G536</f>
        <v>0</v>
      </c>
      <c r="H534" s="402"/>
      <c r="I534" s="402"/>
    </row>
    <row r="535" spans="1:9" ht="12.75" customHeight="1" hidden="1">
      <c r="A535" s="6"/>
      <c r="B535" s="29">
        <v>2111</v>
      </c>
      <c r="C535" s="30" t="s">
        <v>42</v>
      </c>
      <c r="D535" s="372"/>
      <c r="E535" s="372"/>
      <c r="F535" s="34"/>
      <c r="G535" s="34"/>
      <c r="H535" s="402"/>
      <c r="I535" s="402"/>
    </row>
    <row r="536" spans="1:9" ht="12.75" customHeight="1" hidden="1">
      <c r="A536" s="6"/>
      <c r="B536" s="29">
        <v>2112</v>
      </c>
      <c r="C536" s="30" t="s">
        <v>43</v>
      </c>
      <c r="D536" s="372"/>
      <c r="E536" s="372"/>
      <c r="F536" s="34"/>
      <c r="G536" s="34"/>
      <c r="H536" s="402"/>
      <c r="I536" s="402"/>
    </row>
    <row r="537" spans="1:9" ht="12.75" customHeight="1" hidden="1">
      <c r="A537" s="6"/>
      <c r="B537" s="29">
        <v>2120</v>
      </c>
      <c r="C537" s="30" t="s">
        <v>44</v>
      </c>
      <c r="D537" s="372"/>
      <c r="E537" s="372"/>
      <c r="F537" s="34"/>
      <c r="G537" s="34"/>
      <c r="H537" s="402"/>
      <c r="I537" s="402"/>
    </row>
    <row r="538" spans="1:9" ht="12.75" customHeight="1" hidden="1">
      <c r="A538" s="6"/>
      <c r="B538" s="27">
        <v>2200</v>
      </c>
      <c r="C538" s="28" t="s">
        <v>45</v>
      </c>
      <c r="D538" s="370">
        <f>SUM(D539:D545)+D552</f>
        <v>0</v>
      </c>
      <c r="E538" s="370">
        <f>SUM(E539:E545)+E552</f>
        <v>0</v>
      </c>
      <c r="F538" s="33">
        <f>SUM(F539:F545)+F552</f>
        <v>0</v>
      </c>
      <c r="G538" s="33">
        <f>SUM(G539:G545)+G552</f>
        <v>0</v>
      </c>
      <c r="H538" s="402"/>
      <c r="I538" s="402"/>
    </row>
    <row r="539" spans="1:9" ht="12.75" customHeight="1" hidden="1">
      <c r="A539" s="6"/>
      <c r="B539" s="29">
        <v>2210</v>
      </c>
      <c r="C539" s="30" t="s">
        <v>46</v>
      </c>
      <c r="D539" s="372"/>
      <c r="E539" s="372"/>
      <c r="F539" s="34"/>
      <c r="G539" s="34"/>
      <c r="H539" s="402"/>
      <c r="I539" s="402"/>
    </row>
    <row r="540" spans="1:9" ht="12.75" customHeight="1" hidden="1">
      <c r="A540" s="6"/>
      <c r="B540" s="29">
        <v>2220</v>
      </c>
      <c r="C540" s="30" t="s">
        <v>47</v>
      </c>
      <c r="D540" s="372"/>
      <c r="E540" s="372"/>
      <c r="F540" s="34"/>
      <c r="G540" s="34"/>
      <c r="H540" s="402"/>
      <c r="I540" s="402"/>
    </row>
    <row r="541" spans="1:9" ht="12.75" customHeight="1" hidden="1">
      <c r="A541" s="6"/>
      <c r="B541" s="29">
        <v>2230</v>
      </c>
      <c r="C541" s="30" t="s">
        <v>48</v>
      </c>
      <c r="D541" s="372"/>
      <c r="E541" s="372"/>
      <c r="F541" s="34"/>
      <c r="G541" s="34"/>
      <c r="H541" s="402"/>
      <c r="I541" s="402"/>
    </row>
    <row r="542" spans="1:9" ht="12.75" customHeight="1" hidden="1">
      <c r="A542" s="6"/>
      <c r="B542" s="29">
        <v>2240</v>
      </c>
      <c r="C542" s="30" t="s">
        <v>49</v>
      </c>
      <c r="D542" s="372"/>
      <c r="E542" s="372"/>
      <c r="F542" s="34"/>
      <c r="G542" s="34"/>
      <c r="H542" s="402"/>
      <c r="I542" s="402"/>
    </row>
    <row r="543" spans="1:9" ht="12.75" customHeight="1" hidden="1">
      <c r="A543" s="6"/>
      <c r="B543" s="29">
        <v>2250</v>
      </c>
      <c r="C543" s="30" t="s">
        <v>50</v>
      </c>
      <c r="D543" s="372"/>
      <c r="E543" s="372"/>
      <c r="F543" s="34"/>
      <c r="G543" s="34"/>
      <c r="H543" s="402"/>
      <c r="I543" s="402"/>
    </row>
    <row r="544" spans="1:9" ht="12.75" customHeight="1" hidden="1">
      <c r="A544" s="6"/>
      <c r="B544" s="29">
        <v>2260</v>
      </c>
      <c r="C544" s="30" t="s">
        <v>51</v>
      </c>
      <c r="D544" s="372"/>
      <c r="E544" s="372"/>
      <c r="F544" s="34"/>
      <c r="G544" s="34"/>
      <c r="H544" s="402"/>
      <c r="I544" s="402"/>
    </row>
    <row r="545" spans="1:9" ht="12.75" customHeight="1" hidden="1">
      <c r="A545" s="6"/>
      <c r="B545" s="27">
        <v>2270</v>
      </c>
      <c r="C545" s="28" t="s">
        <v>52</v>
      </c>
      <c r="D545" s="370">
        <f>D546+D547+D548+D549+D550+D551</f>
        <v>0</v>
      </c>
      <c r="E545" s="370">
        <f>E546+E547+E548+E549+E550+E551</f>
        <v>0</v>
      </c>
      <c r="F545" s="33">
        <f>F546+F547+F548+F549+F550+F551</f>
        <v>0</v>
      </c>
      <c r="G545" s="33">
        <f>G546+G547+G548+G549+G550+G551</f>
        <v>0</v>
      </c>
      <c r="H545" s="402"/>
      <c r="I545" s="402"/>
    </row>
    <row r="546" spans="1:9" ht="12.75" customHeight="1" hidden="1">
      <c r="A546" s="6"/>
      <c r="B546" s="29">
        <v>2271</v>
      </c>
      <c r="C546" s="30" t="s">
        <v>53</v>
      </c>
      <c r="D546" s="372"/>
      <c r="E546" s="372"/>
      <c r="F546" s="34"/>
      <c r="G546" s="34"/>
      <c r="H546" s="402"/>
      <c r="I546" s="402"/>
    </row>
    <row r="547" spans="1:9" ht="12.75" customHeight="1" hidden="1">
      <c r="A547" s="6"/>
      <c r="B547" s="29">
        <v>2272</v>
      </c>
      <c r="C547" s="30" t="s">
        <v>54</v>
      </c>
      <c r="D547" s="372"/>
      <c r="E547" s="372"/>
      <c r="F547" s="34"/>
      <c r="G547" s="34"/>
      <c r="H547" s="402"/>
      <c r="I547" s="402"/>
    </row>
    <row r="548" spans="1:9" ht="12.75" customHeight="1" hidden="1">
      <c r="A548" s="6"/>
      <c r="B548" s="29">
        <v>2273</v>
      </c>
      <c r="C548" s="30" t="s">
        <v>55</v>
      </c>
      <c r="D548" s="372"/>
      <c r="E548" s="372"/>
      <c r="F548" s="34"/>
      <c r="G548" s="34"/>
      <c r="H548" s="402"/>
      <c r="I548" s="402"/>
    </row>
    <row r="549" spans="1:9" ht="12.75" customHeight="1" hidden="1">
      <c r="A549" s="6"/>
      <c r="B549" s="29">
        <v>2274</v>
      </c>
      <c r="C549" s="30" t="s">
        <v>56</v>
      </c>
      <c r="D549" s="372"/>
      <c r="E549" s="372"/>
      <c r="F549" s="34"/>
      <c r="G549" s="34"/>
      <c r="H549" s="402"/>
      <c r="I549" s="402"/>
    </row>
    <row r="550" spans="1:9" ht="12.75" customHeight="1" hidden="1">
      <c r="A550" s="6"/>
      <c r="B550" s="29">
        <v>2275</v>
      </c>
      <c r="C550" s="30" t="s">
        <v>57</v>
      </c>
      <c r="D550" s="372"/>
      <c r="E550" s="372"/>
      <c r="F550" s="34"/>
      <c r="G550" s="34"/>
      <c r="H550" s="402"/>
      <c r="I550" s="402"/>
    </row>
    <row r="551" spans="1:9" ht="12.75" customHeight="1" hidden="1">
      <c r="A551" s="6"/>
      <c r="B551" s="31">
        <v>2276</v>
      </c>
      <c r="C551" s="32" t="s">
        <v>58</v>
      </c>
      <c r="D551" s="372"/>
      <c r="E551" s="372"/>
      <c r="F551" s="34"/>
      <c r="G551" s="34"/>
      <c r="H551" s="402"/>
      <c r="I551" s="402"/>
    </row>
    <row r="552" spans="1:9" ht="12.75" customHeight="1" hidden="1">
      <c r="A552" s="6"/>
      <c r="B552" s="27">
        <v>2280</v>
      </c>
      <c r="C552" s="28" t="s">
        <v>59</v>
      </c>
      <c r="D552" s="370">
        <f>D553+D554</f>
        <v>0</v>
      </c>
      <c r="E552" s="370">
        <f>E553+E554</f>
        <v>0</v>
      </c>
      <c r="F552" s="33">
        <f>F553+F554</f>
        <v>0</v>
      </c>
      <c r="G552" s="33">
        <f>G553+G554</f>
        <v>0</v>
      </c>
      <c r="H552" s="402"/>
      <c r="I552" s="402"/>
    </row>
    <row r="553" spans="1:9" ht="12.75" customHeight="1" hidden="1">
      <c r="A553" s="6"/>
      <c r="B553" s="29">
        <v>2281</v>
      </c>
      <c r="C553" s="30" t="s">
        <v>60</v>
      </c>
      <c r="D553" s="372"/>
      <c r="E553" s="372"/>
      <c r="F553" s="34"/>
      <c r="G553" s="34"/>
      <c r="H553" s="402"/>
      <c r="I553" s="402"/>
    </row>
    <row r="554" spans="1:9" ht="12.75" customHeight="1" hidden="1">
      <c r="A554" s="6"/>
      <c r="B554" s="29">
        <v>2282</v>
      </c>
      <c r="C554" s="30" t="s">
        <v>61</v>
      </c>
      <c r="D554" s="372"/>
      <c r="E554" s="372"/>
      <c r="F554" s="34"/>
      <c r="G554" s="34"/>
      <c r="H554" s="402"/>
      <c r="I554" s="402"/>
    </row>
    <row r="555" spans="1:9" ht="12.75" customHeight="1" hidden="1">
      <c r="A555" s="6"/>
      <c r="B555" s="27">
        <v>2400</v>
      </c>
      <c r="C555" s="28" t="s">
        <v>62</v>
      </c>
      <c r="D555" s="372">
        <f>D556+D557</f>
        <v>0</v>
      </c>
      <c r="E555" s="372">
        <f>E556+E557</f>
        <v>0</v>
      </c>
      <c r="F555" s="34">
        <f>F556+F557</f>
        <v>0</v>
      </c>
      <c r="G555" s="34">
        <f>G556+G557</f>
        <v>0</v>
      </c>
      <c r="H555" s="402"/>
      <c r="I555" s="402"/>
    </row>
    <row r="556" spans="1:9" ht="12.75" customHeight="1" hidden="1">
      <c r="A556" s="6"/>
      <c r="B556" s="29">
        <v>2410</v>
      </c>
      <c r="C556" s="30" t="s">
        <v>63</v>
      </c>
      <c r="D556" s="372"/>
      <c r="E556" s="372"/>
      <c r="F556" s="34"/>
      <c r="G556" s="34"/>
      <c r="H556" s="402"/>
      <c r="I556" s="402"/>
    </row>
    <row r="557" spans="1:9" ht="12.75" customHeight="1" hidden="1">
      <c r="A557" s="6"/>
      <c r="B557" s="29">
        <v>2420</v>
      </c>
      <c r="C557" s="30" t="s">
        <v>64</v>
      </c>
      <c r="D557" s="372"/>
      <c r="E557" s="372"/>
      <c r="F557" s="34"/>
      <c r="G557" s="34"/>
      <c r="H557" s="402"/>
      <c r="I557" s="402"/>
    </row>
    <row r="558" spans="1:9" ht="12.75">
      <c r="A558" s="6"/>
      <c r="B558" s="27">
        <v>2600</v>
      </c>
      <c r="C558" s="28" t="s">
        <v>65</v>
      </c>
      <c r="D558" s="370">
        <f>D559+D560+D561</f>
        <v>290.1</v>
      </c>
      <c r="E558" s="370">
        <f>E559+E560+E561</f>
        <v>593.8</v>
      </c>
      <c r="F558" s="33">
        <f>F559+F560+F561</f>
        <v>699.6</v>
      </c>
      <c r="G558" s="33">
        <f>G559+G560+G561</f>
        <v>0</v>
      </c>
      <c r="H558" s="402"/>
      <c r="I558" s="402"/>
    </row>
    <row r="559" spans="1:9" ht="12.75">
      <c r="A559" s="6"/>
      <c r="B559" s="29">
        <v>2610</v>
      </c>
      <c r="C559" s="30" t="s">
        <v>66</v>
      </c>
      <c r="D559" s="372">
        <v>290.1</v>
      </c>
      <c r="E559" s="372">
        <v>593.8</v>
      </c>
      <c r="F559" s="34">
        <v>699.6</v>
      </c>
      <c r="G559" s="34"/>
      <c r="H559" s="402"/>
      <c r="I559" s="402"/>
    </row>
    <row r="560" spans="1:9" ht="12.75" customHeight="1" hidden="1">
      <c r="A560" s="6"/>
      <c r="B560" s="29">
        <v>2620</v>
      </c>
      <c r="C560" s="30" t="s">
        <v>67</v>
      </c>
      <c r="D560" s="372"/>
      <c r="E560" s="372"/>
      <c r="F560" s="34"/>
      <c r="G560" s="34"/>
      <c r="H560" s="402"/>
      <c r="I560" s="402"/>
    </row>
    <row r="561" spans="1:9" ht="12.75" customHeight="1" hidden="1">
      <c r="A561" s="6"/>
      <c r="B561" s="29">
        <v>2630</v>
      </c>
      <c r="C561" s="30" t="s">
        <v>68</v>
      </c>
      <c r="D561" s="372"/>
      <c r="E561" s="372"/>
      <c r="F561" s="34"/>
      <c r="G561" s="34"/>
      <c r="H561" s="402"/>
      <c r="I561" s="402"/>
    </row>
    <row r="562" spans="1:9" ht="12.75" customHeight="1" hidden="1">
      <c r="A562" s="6"/>
      <c r="B562" s="27">
        <v>2700</v>
      </c>
      <c r="C562" s="28" t="s">
        <v>69</v>
      </c>
      <c r="D562" s="370">
        <f>D563+D564+D565</f>
        <v>0</v>
      </c>
      <c r="E562" s="370">
        <f>E563+E564+E565</f>
        <v>0</v>
      </c>
      <c r="F562" s="33">
        <f>F563+F564+F565</f>
        <v>0</v>
      </c>
      <c r="G562" s="33">
        <f>G563+G564+G565</f>
        <v>0</v>
      </c>
      <c r="H562" s="402"/>
      <c r="I562" s="402"/>
    </row>
    <row r="563" spans="1:9" ht="12.75" customHeight="1" hidden="1">
      <c r="A563" s="6"/>
      <c r="B563" s="29">
        <v>2710</v>
      </c>
      <c r="C563" s="30" t="s">
        <v>70</v>
      </c>
      <c r="D563" s="373"/>
      <c r="E563" s="373"/>
      <c r="F563" s="42"/>
      <c r="G563" s="42"/>
      <c r="H563" s="402"/>
      <c r="I563" s="402"/>
    </row>
    <row r="564" spans="1:9" ht="12.75" customHeight="1" hidden="1">
      <c r="A564" s="6"/>
      <c r="B564" s="29">
        <v>2720</v>
      </c>
      <c r="C564" s="30" t="s">
        <v>71</v>
      </c>
      <c r="D564" s="373"/>
      <c r="E564" s="373"/>
      <c r="F564" s="34"/>
      <c r="G564" s="42"/>
      <c r="H564" s="402"/>
      <c r="I564" s="402"/>
    </row>
    <row r="565" spans="1:9" ht="12.75" customHeight="1" hidden="1">
      <c r="A565" s="6"/>
      <c r="B565" s="29">
        <v>2730</v>
      </c>
      <c r="C565" s="30" t="s">
        <v>72</v>
      </c>
      <c r="D565" s="373"/>
      <c r="E565" s="373"/>
      <c r="F565" s="34"/>
      <c r="G565" s="42"/>
      <c r="H565" s="402"/>
      <c r="I565" s="402"/>
    </row>
    <row r="566" spans="1:9" ht="12.75" customHeight="1" hidden="1">
      <c r="A566" s="6"/>
      <c r="B566" s="27">
        <v>2800</v>
      </c>
      <c r="C566" s="28" t="s">
        <v>73</v>
      </c>
      <c r="D566" s="373"/>
      <c r="E566" s="372"/>
      <c r="F566" s="34"/>
      <c r="G566" s="42"/>
      <c r="H566" s="402"/>
      <c r="I566" s="402"/>
    </row>
    <row r="567" spans="1:9" ht="12.75" customHeight="1" hidden="1">
      <c r="A567" s="21"/>
      <c r="B567" s="27">
        <v>3000</v>
      </c>
      <c r="C567" s="28" t="s">
        <v>40</v>
      </c>
      <c r="D567" s="374">
        <f>D568+D582</f>
        <v>0</v>
      </c>
      <c r="E567" s="374">
        <f>E568+E582</f>
        <v>0</v>
      </c>
      <c r="F567" s="40">
        <f>F568+F582</f>
        <v>0</v>
      </c>
      <c r="G567" s="40">
        <f>G568+G582</f>
        <v>0</v>
      </c>
      <c r="H567" s="402"/>
      <c r="I567" s="402"/>
    </row>
    <row r="568" spans="1:9" ht="12.75" customHeight="1" hidden="1">
      <c r="A568" s="21"/>
      <c r="B568" s="27">
        <v>3100</v>
      </c>
      <c r="C568" s="28" t="s">
        <v>41</v>
      </c>
      <c r="D568" s="374">
        <f>D569+D570+D573+D576+D580+D581+D582</f>
        <v>0</v>
      </c>
      <c r="E568" s="374">
        <f>E569+E570+E573+E576+E580+E581+E582</f>
        <v>0</v>
      </c>
      <c r="F568" s="40">
        <f>F569+F570+F573+F576+F580+F581+F582</f>
        <v>0</v>
      </c>
      <c r="G568" s="40">
        <f>G569+G570+G573+G576+G580+G581+G582</f>
        <v>0</v>
      </c>
      <c r="H568" s="402"/>
      <c r="I568" s="402"/>
    </row>
    <row r="569" spans="1:9" ht="12.75" customHeight="1" hidden="1">
      <c r="A569" s="21"/>
      <c r="B569" s="29">
        <v>3110</v>
      </c>
      <c r="C569" s="30" t="s">
        <v>74</v>
      </c>
      <c r="D569" s="375"/>
      <c r="E569" s="375"/>
      <c r="F569" s="41"/>
      <c r="G569" s="41"/>
      <c r="H569" s="402"/>
      <c r="I569" s="402"/>
    </row>
    <row r="570" spans="1:9" ht="12.75" customHeight="1" hidden="1">
      <c r="A570" s="21"/>
      <c r="B570" s="29">
        <v>3120</v>
      </c>
      <c r="C570" s="30" t="s">
        <v>75</v>
      </c>
      <c r="D570" s="374">
        <f>D571+D572</f>
        <v>0</v>
      </c>
      <c r="E570" s="374">
        <f>E571+E572</f>
        <v>0</v>
      </c>
      <c r="F570" s="40">
        <f>F571+F572</f>
        <v>0</v>
      </c>
      <c r="G570" s="40">
        <f>G571+G572</f>
        <v>0</v>
      </c>
      <c r="H570" s="402"/>
      <c r="I570" s="402"/>
    </row>
    <row r="571" spans="1:9" ht="12.75" customHeight="1" hidden="1">
      <c r="A571" s="21"/>
      <c r="B571" s="29">
        <v>3121</v>
      </c>
      <c r="C571" s="30" t="s">
        <v>76</v>
      </c>
      <c r="D571" s="375"/>
      <c r="E571" s="375"/>
      <c r="F571" s="41"/>
      <c r="G571" s="41"/>
      <c r="H571" s="402"/>
      <c r="I571" s="402"/>
    </row>
    <row r="572" spans="1:9" ht="12.75" customHeight="1" hidden="1">
      <c r="A572" s="21"/>
      <c r="B572" s="29">
        <v>3122</v>
      </c>
      <c r="C572" s="30" t="s">
        <v>77</v>
      </c>
      <c r="D572" s="375"/>
      <c r="E572" s="375"/>
      <c r="F572" s="41"/>
      <c r="G572" s="41"/>
      <c r="H572" s="402"/>
      <c r="I572" s="402"/>
    </row>
    <row r="573" spans="1:9" ht="12.75" customHeight="1" hidden="1">
      <c r="A573" s="21"/>
      <c r="B573" s="29">
        <v>3130</v>
      </c>
      <c r="C573" s="30" t="s">
        <v>78</v>
      </c>
      <c r="D573" s="374">
        <f>D574+D575</f>
        <v>0</v>
      </c>
      <c r="E573" s="374">
        <f>E574+E575</f>
        <v>0</v>
      </c>
      <c r="F573" s="40">
        <f>F574+F575</f>
        <v>0</v>
      </c>
      <c r="G573" s="40">
        <f>G574+G575</f>
        <v>0</v>
      </c>
      <c r="H573" s="402"/>
      <c r="I573" s="402"/>
    </row>
    <row r="574" spans="1:9" ht="12.75" customHeight="1" hidden="1">
      <c r="A574" s="21"/>
      <c r="B574" s="29">
        <v>3131</v>
      </c>
      <c r="C574" s="30" t="s">
        <v>79</v>
      </c>
      <c r="D574" s="375"/>
      <c r="E574" s="375"/>
      <c r="F574" s="41"/>
      <c r="G574" s="41"/>
      <c r="H574" s="402"/>
      <c r="I574" s="402"/>
    </row>
    <row r="575" spans="1:9" ht="12.75" customHeight="1" hidden="1">
      <c r="A575" s="21"/>
      <c r="B575" s="29">
        <v>3132</v>
      </c>
      <c r="C575" s="30" t="s">
        <v>80</v>
      </c>
      <c r="D575" s="375"/>
      <c r="E575" s="375"/>
      <c r="F575" s="41"/>
      <c r="G575" s="41"/>
      <c r="H575" s="402"/>
      <c r="I575" s="402"/>
    </row>
    <row r="576" spans="1:9" ht="12.75" customHeight="1" hidden="1">
      <c r="A576" s="21"/>
      <c r="B576" s="29">
        <v>3140</v>
      </c>
      <c r="C576" s="30" t="s">
        <v>81</v>
      </c>
      <c r="D576" s="374">
        <f>D577+D578+D579</f>
        <v>0</v>
      </c>
      <c r="E576" s="374">
        <f>E577+E578+E579</f>
        <v>0</v>
      </c>
      <c r="F576" s="40">
        <f>F577+F578+F579</f>
        <v>0</v>
      </c>
      <c r="G576" s="40">
        <f>G577+G578+G579</f>
        <v>0</v>
      </c>
      <c r="H576" s="402"/>
      <c r="I576" s="402"/>
    </row>
    <row r="577" spans="1:9" ht="12.75" customHeight="1" hidden="1">
      <c r="A577" s="21"/>
      <c r="B577" s="29">
        <v>3141</v>
      </c>
      <c r="C577" s="30" t="s">
        <v>82</v>
      </c>
      <c r="D577" s="375"/>
      <c r="E577" s="375"/>
      <c r="F577" s="41"/>
      <c r="G577" s="41"/>
      <c r="H577" s="402"/>
      <c r="I577" s="402"/>
    </row>
    <row r="578" spans="1:9" ht="12.75" customHeight="1" hidden="1">
      <c r="A578" s="21"/>
      <c r="B578" s="29">
        <v>3142</v>
      </c>
      <c r="C578" s="30" t="s">
        <v>83</v>
      </c>
      <c r="D578" s="375"/>
      <c r="E578" s="375"/>
      <c r="F578" s="41"/>
      <c r="G578" s="41"/>
      <c r="H578" s="402"/>
      <c r="I578" s="402"/>
    </row>
    <row r="579" spans="1:9" ht="12.75" customHeight="1" hidden="1">
      <c r="A579" s="21"/>
      <c r="B579" s="29">
        <v>3143</v>
      </c>
      <c r="C579" s="30" t="s">
        <v>84</v>
      </c>
      <c r="D579" s="375"/>
      <c r="E579" s="375"/>
      <c r="F579" s="41"/>
      <c r="G579" s="41"/>
      <c r="H579" s="402"/>
      <c r="I579" s="402"/>
    </row>
    <row r="580" spans="1:9" ht="12.75" customHeight="1" hidden="1">
      <c r="A580" s="21"/>
      <c r="B580" s="29">
        <v>3150</v>
      </c>
      <c r="C580" s="30" t="s">
        <v>85</v>
      </c>
      <c r="D580" s="375"/>
      <c r="E580" s="375"/>
      <c r="F580" s="41"/>
      <c r="G580" s="41"/>
      <c r="H580" s="402"/>
      <c r="I580" s="402"/>
    </row>
    <row r="581" spans="1:9" ht="12.75" customHeight="1" hidden="1">
      <c r="A581" s="21"/>
      <c r="B581" s="29">
        <v>3160</v>
      </c>
      <c r="C581" s="30" t="s">
        <v>86</v>
      </c>
      <c r="D581" s="375"/>
      <c r="E581" s="375"/>
      <c r="F581" s="41"/>
      <c r="G581" s="41"/>
      <c r="H581" s="402"/>
      <c r="I581" s="402"/>
    </row>
    <row r="582" spans="1:9" ht="12.75" customHeight="1" hidden="1">
      <c r="A582" s="21"/>
      <c r="B582" s="27">
        <v>3200</v>
      </c>
      <c r="C582" s="28" t="s">
        <v>87</v>
      </c>
      <c r="D582" s="374">
        <f>D583+D584+D585+D586</f>
        <v>0</v>
      </c>
      <c r="E582" s="374">
        <f>E583+E584+E585+E586</f>
        <v>0</v>
      </c>
      <c r="F582" s="40">
        <f>F583+F584+F585+F586</f>
        <v>0</v>
      </c>
      <c r="G582" s="40">
        <f>G583+G584+G585+G586</f>
        <v>0</v>
      </c>
      <c r="H582" s="402"/>
      <c r="I582" s="402"/>
    </row>
    <row r="583" spans="1:9" ht="12.75" customHeight="1" hidden="1">
      <c r="A583" s="21"/>
      <c r="B583" s="29">
        <v>3210</v>
      </c>
      <c r="C583" s="30" t="s">
        <v>88</v>
      </c>
      <c r="D583" s="375"/>
      <c r="E583" s="375"/>
      <c r="F583" s="41"/>
      <c r="G583" s="41"/>
      <c r="H583" s="402"/>
      <c r="I583" s="402"/>
    </row>
    <row r="584" spans="1:9" ht="12.75" customHeight="1" hidden="1">
      <c r="A584" s="21"/>
      <c r="B584" s="29">
        <v>3220</v>
      </c>
      <c r="C584" s="30" t="s">
        <v>89</v>
      </c>
      <c r="D584" s="375"/>
      <c r="E584" s="375"/>
      <c r="F584" s="41"/>
      <c r="G584" s="41"/>
      <c r="H584" s="402"/>
      <c r="I584" s="402"/>
    </row>
    <row r="585" spans="1:9" ht="12.75" customHeight="1" hidden="1">
      <c r="A585" s="21"/>
      <c r="B585" s="29">
        <v>3230</v>
      </c>
      <c r="C585" s="30" t="s">
        <v>90</v>
      </c>
      <c r="D585" s="375"/>
      <c r="E585" s="375"/>
      <c r="F585" s="41"/>
      <c r="G585" s="41"/>
      <c r="H585" s="402"/>
      <c r="I585" s="402"/>
    </row>
    <row r="586" spans="1:9" ht="12.75" customHeight="1" hidden="1">
      <c r="A586" s="21"/>
      <c r="B586" s="29">
        <v>3240</v>
      </c>
      <c r="C586" s="30" t="s">
        <v>91</v>
      </c>
      <c r="D586" s="375"/>
      <c r="E586" s="375"/>
      <c r="F586" s="41"/>
      <c r="G586" s="41"/>
      <c r="H586" s="402"/>
      <c r="I586" s="402"/>
    </row>
    <row r="587" spans="1:10" s="19" customFormat="1" ht="12.75">
      <c r="A587" s="7"/>
      <c r="B587" s="7"/>
      <c r="C587" s="20" t="s">
        <v>3</v>
      </c>
      <c r="D587" s="372">
        <f>D532+D567</f>
        <v>290.1</v>
      </c>
      <c r="E587" s="372">
        <f>E532+E567</f>
        <v>593.8</v>
      </c>
      <c r="F587" s="34">
        <f>F532+F567</f>
        <v>699.6</v>
      </c>
      <c r="G587" s="34">
        <f>G532+G567</f>
        <v>0</v>
      </c>
      <c r="H587" s="402"/>
      <c r="I587" s="402"/>
      <c r="J587" s="353"/>
    </row>
    <row r="588" spans="2:10" s="165" customFormat="1" ht="12.75">
      <c r="B588" s="169">
        <v>1113000</v>
      </c>
      <c r="C588" s="169" t="s">
        <v>174</v>
      </c>
      <c r="D588" s="369">
        <f>D589+D624</f>
        <v>26653.149999999994</v>
      </c>
      <c r="E588" s="369">
        <f>E589+E624</f>
        <v>41834.490000000005</v>
      </c>
      <c r="F588" s="166">
        <f>F589+F624</f>
        <v>30330.3</v>
      </c>
      <c r="G588" s="166">
        <f>G589+G624</f>
        <v>8138</v>
      </c>
      <c r="H588" s="428"/>
      <c r="I588" s="428"/>
      <c r="J588" s="350"/>
    </row>
    <row r="589" spans="1:10" s="153" customFormat="1" ht="12.75">
      <c r="A589" s="151"/>
      <c r="B589" s="157">
        <v>2000</v>
      </c>
      <c r="C589" s="158" t="s">
        <v>37</v>
      </c>
      <c r="D589" s="379">
        <f>D590+D595+D612+D615+D619+D623</f>
        <v>26603.299999999996</v>
      </c>
      <c r="E589" s="379">
        <f>E590+E595+E612+E615+E619+E623</f>
        <v>41621.990000000005</v>
      </c>
      <c r="F589" s="152">
        <f>F590+F595+F612+F615+F619+F623</f>
        <v>30330.3</v>
      </c>
      <c r="G589" s="152">
        <f>G590+G595+G612+G615+G619+G623</f>
        <v>8032</v>
      </c>
      <c r="H589" s="429"/>
      <c r="I589" s="429"/>
      <c r="J589" s="354"/>
    </row>
    <row r="590" spans="1:10" s="153" customFormat="1" ht="12.75">
      <c r="A590" s="151"/>
      <c r="B590" s="159">
        <v>2100</v>
      </c>
      <c r="C590" s="160" t="s">
        <v>38</v>
      </c>
      <c r="D590" s="380">
        <f>D591+D594</f>
        <v>5470.65</v>
      </c>
      <c r="E590" s="380">
        <f>E591+E594</f>
        <v>7123.0380000000005</v>
      </c>
      <c r="F590" s="164">
        <f>F591+F594</f>
        <v>7794.299999999999</v>
      </c>
      <c r="G590" s="164">
        <f>G591+G594</f>
        <v>595.6</v>
      </c>
      <c r="H590" s="429"/>
      <c r="I590" s="429"/>
      <c r="J590" s="354"/>
    </row>
    <row r="591" spans="1:10" s="153" customFormat="1" ht="12.75">
      <c r="A591" s="151"/>
      <c r="B591" s="159">
        <v>2110</v>
      </c>
      <c r="C591" s="160" t="s">
        <v>39</v>
      </c>
      <c r="D591" s="380">
        <f>D592+D593</f>
        <v>4504.63</v>
      </c>
      <c r="E591" s="380">
        <f>E592+E593</f>
        <v>5846.3</v>
      </c>
      <c r="F591" s="164">
        <f>F592+F593</f>
        <v>6388.799999999999</v>
      </c>
      <c r="G591" s="164">
        <f>G592+G593</f>
        <v>488.2</v>
      </c>
      <c r="H591" s="429"/>
      <c r="I591" s="429"/>
      <c r="J591" s="354"/>
    </row>
    <row r="592" spans="1:10" s="153" customFormat="1" ht="12.75">
      <c r="A592" s="151"/>
      <c r="B592" s="159">
        <v>2111</v>
      </c>
      <c r="C592" s="160" t="s">
        <v>42</v>
      </c>
      <c r="D592" s="381">
        <f>D535+D478+D420+D363+D306+D248+D191+D133</f>
        <v>4504.63</v>
      </c>
      <c r="E592" s="381">
        <f>E535+E478+E420+E363+E306+E248+E191+E133</f>
        <v>5846.3</v>
      </c>
      <c r="F592" s="170">
        <f>F535+F478+F420+F363+F306+F248+F191+F133</f>
        <v>6388.799999999999</v>
      </c>
      <c r="G592" s="170">
        <f>G535+G478+G420+G363+G306+G248+G191+G133</f>
        <v>488.2</v>
      </c>
      <c r="H592" s="429"/>
      <c r="I592" s="429"/>
      <c r="J592" s="354"/>
    </row>
    <row r="593" spans="1:10" s="153" customFormat="1" ht="12.75" customHeight="1" hidden="1">
      <c r="A593" s="151"/>
      <c r="B593" s="159">
        <v>2112</v>
      </c>
      <c r="C593" s="160" t="s">
        <v>43</v>
      </c>
      <c r="D593" s="381">
        <f aca="true" t="shared" si="0" ref="D593:G594">D536+D479+D421+D364+D307+D249+D192+D134</f>
        <v>0</v>
      </c>
      <c r="E593" s="381">
        <f t="shared" si="0"/>
        <v>0</v>
      </c>
      <c r="F593" s="170">
        <f t="shared" si="0"/>
        <v>0</v>
      </c>
      <c r="G593" s="170">
        <f t="shared" si="0"/>
        <v>0</v>
      </c>
      <c r="H593" s="429"/>
      <c r="I593" s="429"/>
      <c r="J593" s="354"/>
    </row>
    <row r="594" spans="1:10" s="153" customFormat="1" ht="12.75">
      <c r="A594" s="151"/>
      <c r="B594" s="159">
        <v>2120</v>
      </c>
      <c r="C594" s="160" t="s">
        <v>44</v>
      </c>
      <c r="D594" s="381">
        <f t="shared" si="0"/>
        <v>966.02</v>
      </c>
      <c r="E594" s="381">
        <f t="shared" si="0"/>
        <v>1276.7379999999998</v>
      </c>
      <c r="F594" s="170">
        <f t="shared" si="0"/>
        <v>1405.5</v>
      </c>
      <c r="G594" s="170">
        <f t="shared" si="0"/>
        <v>107.4</v>
      </c>
      <c r="H594" s="429"/>
      <c r="I594" s="429"/>
      <c r="J594" s="354"/>
    </row>
    <row r="595" spans="1:10" s="153" customFormat="1" ht="12.75">
      <c r="A595" s="151"/>
      <c r="B595" s="157">
        <v>2200</v>
      </c>
      <c r="C595" s="158" t="s">
        <v>45</v>
      </c>
      <c r="D595" s="379">
        <f>SUM(D596:D602)+D609</f>
        <v>20658.41</v>
      </c>
      <c r="E595" s="379">
        <f>SUM(E596:E602)+E609</f>
        <v>30600.052000000003</v>
      </c>
      <c r="F595" s="152">
        <f>SUM(F596:F602)+F609</f>
        <v>21531.2</v>
      </c>
      <c r="G595" s="152">
        <f>SUM(G596:G602)+G609</f>
        <v>4436.4</v>
      </c>
      <c r="H595" s="429"/>
      <c r="I595" s="429"/>
      <c r="J595" s="354"/>
    </row>
    <row r="596" spans="1:10" s="153" customFormat="1" ht="12.75">
      <c r="A596" s="151"/>
      <c r="B596" s="159">
        <v>2210</v>
      </c>
      <c r="C596" s="160" t="s">
        <v>46</v>
      </c>
      <c r="D596" s="381">
        <f aca="true" t="shared" si="1" ref="D596:G601">D539+D482+D424+D367+D310+D252+D195+D137</f>
        <v>1530.44</v>
      </c>
      <c r="E596" s="381">
        <f t="shared" si="1"/>
        <v>1570.49</v>
      </c>
      <c r="F596" s="170">
        <f t="shared" si="1"/>
        <v>1285.1999999999998</v>
      </c>
      <c r="G596" s="170">
        <f t="shared" si="1"/>
        <v>92</v>
      </c>
      <c r="H596" s="429"/>
      <c r="I596" s="429"/>
      <c r="J596" s="354"/>
    </row>
    <row r="597" spans="1:10" s="153" customFormat="1" ht="12.75">
      <c r="A597" s="151"/>
      <c r="B597" s="159">
        <v>2220</v>
      </c>
      <c r="C597" s="160" t="s">
        <v>47</v>
      </c>
      <c r="D597" s="381">
        <f t="shared" si="1"/>
        <v>24.79</v>
      </c>
      <c r="E597" s="381">
        <f t="shared" si="1"/>
        <v>28.3</v>
      </c>
      <c r="F597" s="170">
        <f t="shared" si="1"/>
        <v>29.8</v>
      </c>
      <c r="G597" s="170">
        <f t="shared" si="1"/>
        <v>0</v>
      </c>
      <c r="H597" s="429"/>
      <c r="I597" s="429"/>
      <c r="J597" s="354"/>
    </row>
    <row r="598" spans="1:10" s="153" customFormat="1" ht="12.75">
      <c r="A598" s="151"/>
      <c r="B598" s="159">
        <v>2230</v>
      </c>
      <c r="C598" s="160" t="s">
        <v>48</v>
      </c>
      <c r="D598" s="381">
        <f t="shared" si="1"/>
        <v>1077.3</v>
      </c>
      <c r="E598" s="381">
        <f t="shared" si="1"/>
        <v>1394.8</v>
      </c>
      <c r="F598" s="170">
        <f t="shared" si="1"/>
        <v>1585.8</v>
      </c>
      <c r="G598" s="170">
        <f t="shared" si="1"/>
        <v>732.5</v>
      </c>
      <c r="H598" s="429"/>
      <c r="I598" s="429"/>
      <c r="J598" s="354"/>
    </row>
    <row r="599" spans="1:10" s="153" customFormat="1" ht="12.75">
      <c r="A599" s="151"/>
      <c r="B599" s="159">
        <v>2240</v>
      </c>
      <c r="C599" s="160" t="s">
        <v>49</v>
      </c>
      <c r="D599" s="381">
        <f t="shared" si="1"/>
        <v>1649.17</v>
      </c>
      <c r="E599" s="381">
        <f t="shared" si="1"/>
        <v>2122.462</v>
      </c>
      <c r="F599" s="170">
        <f t="shared" si="1"/>
        <v>2461.6</v>
      </c>
      <c r="G599" s="170">
        <f t="shared" si="1"/>
        <v>356</v>
      </c>
      <c r="H599" s="429"/>
      <c r="I599" s="429"/>
      <c r="J599" s="354"/>
    </row>
    <row r="600" spans="1:10" s="153" customFormat="1" ht="12.75">
      <c r="A600" s="151"/>
      <c r="B600" s="159">
        <v>2250</v>
      </c>
      <c r="C600" s="160" t="s">
        <v>50</v>
      </c>
      <c r="D600" s="381">
        <f t="shared" si="1"/>
        <v>74.57</v>
      </c>
      <c r="E600" s="381">
        <f t="shared" si="1"/>
        <v>81.5</v>
      </c>
      <c r="F600" s="170">
        <f t="shared" si="1"/>
        <v>93.39999999999999</v>
      </c>
      <c r="G600" s="170">
        <f t="shared" si="1"/>
        <v>0</v>
      </c>
      <c r="H600" s="429"/>
      <c r="I600" s="429"/>
      <c r="J600" s="354"/>
    </row>
    <row r="601" spans="1:10" s="153" customFormat="1" ht="12.75" customHeight="1" hidden="1">
      <c r="A601" s="151"/>
      <c r="B601" s="159">
        <v>2260</v>
      </c>
      <c r="C601" s="160" t="s">
        <v>51</v>
      </c>
      <c r="D601" s="381">
        <f t="shared" si="1"/>
        <v>0</v>
      </c>
      <c r="E601" s="381">
        <f t="shared" si="1"/>
        <v>0</v>
      </c>
      <c r="F601" s="170">
        <f t="shared" si="1"/>
        <v>0</v>
      </c>
      <c r="G601" s="170">
        <f t="shared" si="1"/>
        <v>0</v>
      </c>
      <c r="H601" s="429"/>
      <c r="I601" s="429"/>
      <c r="J601" s="354"/>
    </row>
    <row r="602" spans="1:10" s="153" customFormat="1" ht="12.75">
      <c r="A602" s="151"/>
      <c r="B602" s="157">
        <v>2270</v>
      </c>
      <c r="C602" s="158" t="s">
        <v>52</v>
      </c>
      <c r="D602" s="379">
        <f>D603+D604+D605+D606+D607+D608</f>
        <v>1018.9799999999999</v>
      </c>
      <c r="E602" s="379">
        <f>E603+E604+E605+E606+E607+E608</f>
        <v>1312.6</v>
      </c>
      <c r="F602" s="152">
        <f>F603+F604+F605+F606+F607+F608</f>
        <v>1444.6</v>
      </c>
      <c r="G602" s="152">
        <f>G603+G604+G605+G606+G607+G608</f>
        <v>255.89999999999998</v>
      </c>
      <c r="H602" s="429"/>
      <c r="I602" s="429"/>
      <c r="J602" s="354"/>
    </row>
    <row r="603" spans="1:10" s="153" customFormat="1" ht="12.75">
      <c r="A603" s="151"/>
      <c r="B603" s="159">
        <v>2271</v>
      </c>
      <c r="C603" s="160" t="s">
        <v>53</v>
      </c>
      <c r="D603" s="381">
        <f aca="true" t="shared" si="2" ref="D603:G608">D546+D489+D431+D374+D317+D259+D202+D144</f>
        <v>509.87</v>
      </c>
      <c r="E603" s="381">
        <f t="shared" si="2"/>
        <v>687.5</v>
      </c>
      <c r="F603" s="170">
        <f t="shared" si="2"/>
        <v>735.1</v>
      </c>
      <c r="G603" s="170">
        <f t="shared" si="2"/>
        <v>0</v>
      </c>
      <c r="H603" s="429"/>
      <c r="I603" s="429"/>
      <c r="J603" s="354"/>
    </row>
    <row r="604" spans="1:10" s="153" customFormat="1" ht="12.75">
      <c r="A604" s="151"/>
      <c r="B604" s="159">
        <v>2272</v>
      </c>
      <c r="C604" s="160" t="s">
        <v>54</v>
      </c>
      <c r="D604" s="381">
        <f t="shared" si="2"/>
        <v>54.5</v>
      </c>
      <c r="E604" s="381">
        <f t="shared" si="2"/>
        <v>108.4</v>
      </c>
      <c r="F604" s="170">
        <f t="shared" si="2"/>
        <v>159.39999999999998</v>
      </c>
      <c r="G604" s="170">
        <f t="shared" si="2"/>
        <v>70.6</v>
      </c>
      <c r="H604" s="429"/>
      <c r="I604" s="429"/>
      <c r="J604" s="354"/>
    </row>
    <row r="605" spans="1:10" s="153" customFormat="1" ht="12.75">
      <c r="A605" s="151"/>
      <c r="B605" s="159">
        <v>2273</v>
      </c>
      <c r="C605" s="160" t="s">
        <v>55</v>
      </c>
      <c r="D605" s="381">
        <f t="shared" si="2"/>
        <v>414.7</v>
      </c>
      <c r="E605" s="381">
        <f t="shared" si="2"/>
        <v>473.1</v>
      </c>
      <c r="F605" s="170">
        <f t="shared" si="2"/>
        <v>501.5</v>
      </c>
      <c r="G605" s="170">
        <f t="shared" si="2"/>
        <v>113.3</v>
      </c>
      <c r="H605" s="429"/>
      <c r="I605" s="429"/>
      <c r="J605" s="354"/>
    </row>
    <row r="606" spans="1:10" s="153" customFormat="1" ht="12.75" customHeight="1" hidden="1">
      <c r="A606" s="151"/>
      <c r="B606" s="159">
        <v>2274</v>
      </c>
      <c r="C606" s="160" t="s">
        <v>56</v>
      </c>
      <c r="D606" s="381">
        <f t="shared" si="2"/>
        <v>0</v>
      </c>
      <c r="E606" s="381">
        <f t="shared" si="2"/>
        <v>0</v>
      </c>
      <c r="F606" s="170">
        <f t="shared" si="2"/>
        <v>0</v>
      </c>
      <c r="G606" s="170">
        <f t="shared" si="2"/>
        <v>0</v>
      </c>
      <c r="H606" s="429"/>
      <c r="I606" s="429"/>
      <c r="J606" s="354"/>
    </row>
    <row r="607" spans="1:10" s="153" customFormat="1" ht="12.75">
      <c r="A607" s="151"/>
      <c r="B607" s="159">
        <v>2275</v>
      </c>
      <c r="C607" s="160" t="s">
        <v>57</v>
      </c>
      <c r="D607" s="381">
        <f t="shared" si="2"/>
        <v>39.91</v>
      </c>
      <c r="E607" s="381">
        <f t="shared" si="2"/>
        <v>43.6</v>
      </c>
      <c r="F607" s="170">
        <f t="shared" si="2"/>
        <v>48.6</v>
      </c>
      <c r="G607" s="170">
        <f t="shared" si="2"/>
        <v>72</v>
      </c>
      <c r="H607" s="429"/>
      <c r="I607" s="429"/>
      <c r="J607" s="354"/>
    </row>
    <row r="608" spans="1:10" s="153" customFormat="1" ht="12.75" customHeight="1" hidden="1">
      <c r="A608" s="151"/>
      <c r="B608" s="162">
        <v>2276</v>
      </c>
      <c r="C608" s="163" t="s">
        <v>58</v>
      </c>
      <c r="D608" s="381">
        <f t="shared" si="2"/>
        <v>0</v>
      </c>
      <c r="E608" s="381">
        <f t="shared" si="2"/>
        <v>0</v>
      </c>
      <c r="F608" s="170">
        <f t="shared" si="2"/>
        <v>0</v>
      </c>
      <c r="G608" s="170">
        <f t="shared" si="2"/>
        <v>0</v>
      </c>
      <c r="H608" s="429"/>
      <c r="I608" s="429"/>
      <c r="J608" s="354"/>
    </row>
    <row r="609" spans="1:10" s="153" customFormat="1" ht="12.75">
      <c r="A609" s="151"/>
      <c r="B609" s="157">
        <v>2280</v>
      </c>
      <c r="C609" s="158" t="s">
        <v>59</v>
      </c>
      <c r="D609" s="379">
        <f>D610+D611</f>
        <v>15283.16</v>
      </c>
      <c r="E609" s="379">
        <f>E610+E611</f>
        <v>24089.9</v>
      </c>
      <c r="F609" s="152">
        <f>F610+F611</f>
        <v>14630.800000000001</v>
      </c>
      <c r="G609" s="152">
        <f>G610+G611</f>
        <v>3000</v>
      </c>
      <c r="H609" s="429"/>
      <c r="I609" s="429"/>
      <c r="J609" s="354"/>
    </row>
    <row r="610" spans="1:10" s="153" customFormat="1" ht="12.75" customHeight="1" hidden="1">
      <c r="A610" s="151"/>
      <c r="B610" s="159">
        <v>2281</v>
      </c>
      <c r="C610" s="160" t="s">
        <v>60</v>
      </c>
      <c r="D610" s="381">
        <f aca="true" t="shared" si="3" ref="D610:G611">D553+D496+D438+D381+D324+D266+D209+D151</f>
        <v>0</v>
      </c>
      <c r="E610" s="381">
        <f t="shared" si="3"/>
        <v>0</v>
      </c>
      <c r="F610" s="170">
        <f t="shared" si="3"/>
        <v>0</v>
      </c>
      <c r="G610" s="170">
        <f t="shared" si="3"/>
        <v>0</v>
      </c>
      <c r="H610" s="429"/>
      <c r="I610" s="429"/>
      <c r="J610" s="354"/>
    </row>
    <row r="611" spans="1:10" s="153" customFormat="1" ht="12.75">
      <c r="A611" s="151"/>
      <c r="B611" s="159">
        <v>2282</v>
      </c>
      <c r="C611" s="160" t="s">
        <v>61</v>
      </c>
      <c r="D611" s="381">
        <f t="shared" si="3"/>
        <v>15283.16</v>
      </c>
      <c r="E611" s="381">
        <f t="shared" si="3"/>
        <v>24089.9</v>
      </c>
      <c r="F611" s="170">
        <f t="shared" si="3"/>
        <v>14630.800000000001</v>
      </c>
      <c r="G611" s="170">
        <f t="shared" si="3"/>
        <v>3000</v>
      </c>
      <c r="H611" s="429"/>
      <c r="I611" s="429"/>
      <c r="J611" s="354"/>
    </row>
    <row r="612" spans="1:10" s="153" customFormat="1" ht="12.75" customHeight="1" hidden="1">
      <c r="A612" s="151"/>
      <c r="B612" s="157">
        <v>2400</v>
      </c>
      <c r="C612" s="158" t="s">
        <v>62</v>
      </c>
      <c r="D612" s="381">
        <f>D613+D614</f>
        <v>0</v>
      </c>
      <c r="E612" s="381">
        <f>E613+E614</f>
        <v>0</v>
      </c>
      <c r="F612" s="170">
        <f>F613+F614</f>
        <v>0</v>
      </c>
      <c r="G612" s="170">
        <f>G613+G614</f>
        <v>0</v>
      </c>
      <c r="H612" s="429"/>
      <c r="I612" s="429"/>
      <c r="J612" s="354"/>
    </row>
    <row r="613" spans="1:10" s="153" customFormat="1" ht="12.75" customHeight="1" hidden="1">
      <c r="A613" s="151"/>
      <c r="B613" s="159">
        <v>2410</v>
      </c>
      <c r="C613" s="160" t="s">
        <v>63</v>
      </c>
      <c r="D613" s="381">
        <f aca="true" t="shared" si="4" ref="D613:G614">D556+D499+D441+D384+D327+D269+D212+D154</f>
        <v>0</v>
      </c>
      <c r="E613" s="381">
        <f t="shared" si="4"/>
        <v>0</v>
      </c>
      <c r="F613" s="170">
        <f t="shared" si="4"/>
        <v>0</v>
      </c>
      <c r="G613" s="170">
        <f t="shared" si="4"/>
        <v>0</v>
      </c>
      <c r="H613" s="429"/>
      <c r="I613" s="429"/>
      <c r="J613" s="354"/>
    </row>
    <row r="614" spans="1:10" s="153" customFormat="1" ht="12.75" customHeight="1" hidden="1">
      <c r="A614" s="151"/>
      <c r="B614" s="159">
        <v>2420</v>
      </c>
      <c r="C614" s="160" t="s">
        <v>64</v>
      </c>
      <c r="D614" s="381">
        <f t="shared" si="4"/>
        <v>0</v>
      </c>
      <c r="E614" s="381">
        <f t="shared" si="4"/>
        <v>0</v>
      </c>
      <c r="F614" s="170">
        <f t="shared" si="4"/>
        <v>0</v>
      </c>
      <c r="G614" s="170">
        <f t="shared" si="4"/>
        <v>0</v>
      </c>
      <c r="H614" s="429"/>
      <c r="I614" s="429"/>
      <c r="J614" s="354"/>
    </row>
    <row r="615" spans="1:10" s="153" customFormat="1" ht="12.75">
      <c r="A615" s="151"/>
      <c r="B615" s="157">
        <v>2600</v>
      </c>
      <c r="C615" s="158" t="s">
        <v>65</v>
      </c>
      <c r="D615" s="379">
        <f>D616+D617+D618</f>
        <v>473.28000000000003</v>
      </c>
      <c r="E615" s="379">
        <f>E616+E617+E618</f>
        <v>893.8</v>
      </c>
      <c r="F615" s="152">
        <f>F616+F617+F618</f>
        <v>999.6</v>
      </c>
      <c r="G615" s="152">
        <f>G616+G617+G618</f>
        <v>0</v>
      </c>
      <c r="H615" s="429"/>
      <c r="I615" s="429"/>
      <c r="J615" s="354"/>
    </row>
    <row r="616" spans="1:10" s="153" customFormat="1" ht="12.75">
      <c r="A616" s="151"/>
      <c r="B616" s="159">
        <v>2610</v>
      </c>
      <c r="C616" s="160" t="s">
        <v>66</v>
      </c>
      <c r="D616" s="381">
        <f aca="true" t="shared" si="5" ref="D616:G618">D559+D502+D444+D387+D330+D272+D215+D157</f>
        <v>473.28000000000003</v>
      </c>
      <c r="E616" s="381">
        <f t="shared" si="5"/>
        <v>893.8</v>
      </c>
      <c r="F616" s="170">
        <f t="shared" si="5"/>
        <v>999.6</v>
      </c>
      <c r="G616" s="170">
        <f t="shared" si="5"/>
        <v>0</v>
      </c>
      <c r="H616" s="429"/>
      <c r="I616" s="429"/>
      <c r="J616" s="354"/>
    </row>
    <row r="617" spans="1:10" s="153" customFormat="1" ht="12.75" customHeight="1" hidden="1">
      <c r="A617" s="151"/>
      <c r="B617" s="159">
        <v>2620</v>
      </c>
      <c r="C617" s="160" t="s">
        <v>67</v>
      </c>
      <c r="D617" s="381">
        <f t="shared" si="5"/>
        <v>0</v>
      </c>
      <c r="E617" s="381">
        <f t="shared" si="5"/>
        <v>0</v>
      </c>
      <c r="F617" s="170">
        <f t="shared" si="5"/>
        <v>0</v>
      </c>
      <c r="G617" s="170">
        <f t="shared" si="5"/>
        <v>0</v>
      </c>
      <c r="H617" s="429"/>
      <c r="I617" s="429"/>
      <c r="J617" s="354"/>
    </row>
    <row r="618" spans="1:10" s="153" customFormat="1" ht="12.75" customHeight="1" hidden="1">
      <c r="A618" s="151"/>
      <c r="B618" s="159">
        <v>2630</v>
      </c>
      <c r="C618" s="160" t="s">
        <v>68</v>
      </c>
      <c r="D618" s="381">
        <f t="shared" si="5"/>
        <v>0</v>
      </c>
      <c r="E618" s="381">
        <f t="shared" si="5"/>
        <v>0</v>
      </c>
      <c r="F618" s="170">
        <f t="shared" si="5"/>
        <v>0</v>
      </c>
      <c r="G618" s="170">
        <f t="shared" si="5"/>
        <v>0</v>
      </c>
      <c r="H618" s="429"/>
      <c r="I618" s="429"/>
      <c r="J618" s="354"/>
    </row>
    <row r="619" spans="1:10" s="153" customFormat="1" ht="12.75">
      <c r="A619" s="151"/>
      <c r="B619" s="157">
        <v>2700</v>
      </c>
      <c r="C619" s="158" t="s">
        <v>69</v>
      </c>
      <c r="D619" s="379">
        <f>D620+D621+D622</f>
        <v>0</v>
      </c>
      <c r="E619" s="379">
        <f>E620+E621+E622</f>
        <v>3000</v>
      </c>
      <c r="F619" s="152">
        <f>F620+F621+F622</f>
        <v>0</v>
      </c>
      <c r="G619" s="152">
        <f>G620+G621+G622</f>
        <v>3000</v>
      </c>
      <c r="H619" s="429"/>
      <c r="I619" s="429"/>
      <c r="J619" s="354"/>
    </row>
    <row r="620" spans="1:10" s="153" customFormat="1" ht="12.75" customHeight="1" hidden="1">
      <c r="A620" s="151"/>
      <c r="B620" s="159">
        <v>2710</v>
      </c>
      <c r="C620" s="160" t="s">
        <v>70</v>
      </c>
      <c r="D620" s="381">
        <f aca="true" t="shared" si="6" ref="D620:G623">D563+D506+D448+D391+D334+D276+D219+D161</f>
        <v>0</v>
      </c>
      <c r="E620" s="381">
        <f t="shared" si="6"/>
        <v>0</v>
      </c>
      <c r="F620" s="170">
        <f t="shared" si="6"/>
        <v>0</v>
      </c>
      <c r="G620" s="170">
        <f t="shared" si="6"/>
        <v>0</v>
      </c>
      <c r="H620" s="429"/>
      <c r="I620" s="429"/>
      <c r="J620" s="354"/>
    </row>
    <row r="621" spans="1:10" s="153" customFormat="1" ht="12.75" customHeight="1" hidden="1">
      <c r="A621" s="151"/>
      <c r="B621" s="159">
        <v>2720</v>
      </c>
      <c r="C621" s="160" t="s">
        <v>71</v>
      </c>
      <c r="D621" s="381">
        <f t="shared" si="6"/>
        <v>0</v>
      </c>
      <c r="E621" s="381">
        <f t="shared" si="6"/>
        <v>0</v>
      </c>
      <c r="F621" s="170">
        <f t="shared" si="6"/>
        <v>0</v>
      </c>
      <c r="G621" s="170">
        <f t="shared" si="6"/>
        <v>0</v>
      </c>
      <c r="H621" s="429"/>
      <c r="I621" s="429"/>
      <c r="J621" s="354"/>
    </row>
    <row r="622" spans="1:10" s="153" customFormat="1" ht="12.75">
      <c r="A622" s="151"/>
      <c r="B622" s="159">
        <v>2730</v>
      </c>
      <c r="C622" s="160" t="s">
        <v>72</v>
      </c>
      <c r="D622" s="381">
        <f t="shared" si="6"/>
        <v>0</v>
      </c>
      <c r="E622" s="381">
        <f t="shared" si="6"/>
        <v>3000</v>
      </c>
      <c r="F622" s="170">
        <f t="shared" si="6"/>
        <v>0</v>
      </c>
      <c r="G622" s="170">
        <f t="shared" si="6"/>
        <v>3000</v>
      </c>
      <c r="H622" s="429"/>
      <c r="I622" s="429"/>
      <c r="J622" s="354"/>
    </row>
    <row r="623" spans="1:10" s="153" customFormat="1" ht="12.75">
      <c r="A623" s="151"/>
      <c r="B623" s="157">
        <v>2800</v>
      </c>
      <c r="C623" s="158" t="s">
        <v>73</v>
      </c>
      <c r="D623" s="381">
        <f t="shared" si="6"/>
        <v>0.96</v>
      </c>
      <c r="E623" s="381">
        <f t="shared" si="6"/>
        <v>5.1</v>
      </c>
      <c r="F623" s="170">
        <f t="shared" si="6"/>
        <v>5.2</v>
      </c>
      <c r="G623" s="170">
        <f t="shared" si="6"/>
        <v>0</v>
      </c>
      <c r="H623" s="429"/>
      <c r="I623" s="429"/>
      <c r="J623" s="354"/>
    </row>
    <row r="624" spans="1:10" s="153" customFormat="1" ht="12.75">
      <c r="A624" s="155"/>
      <c r="B624" s="157">
        <v>3000</v>
      </c>
      <c r="C624" s="158" t="s">
        <v>40</v>
      </c>
      <c r="D624" s="382">
        <f>D625+D639</f>
        <v>49.85</v>
      </c>
      <c r="E624" s="382">
        <f>E625+E639</f>
        <v>212.5</v>
      </c>
      <c r="F624" s="122">
        <f>F625+F639</f>
        <v>0</v>
      </c>
      <c r="G624" s="122">
        <f>G625+G639</f>
        <v>106</v>
      </c>
      <c r="H624" s="429"/>
      <c r="I624" s="429"/>
      <c r="J624" s="354"/>
    </row>
    <row r="625" spans="1:10" s="153" customFormat="1" ht="12.75">
      <c r="A625" s="155"/>
      <c r="B625" s="157">
        <v>3100</v>
      </c>
      <c r="C625" s="158" t="s">
        <v>41</v>
      </c>
      <c r="D625" s="382">
        <f>D626+D627+D630+D633+D637+D638+D639</f>
        <v>49.85</v>
      </c>
      <c r="E625" s="382">
        <f>E626+E627+E630+E633+E637+E638+E639</f>
        <v>212.5</v>
      </c>
      <c r="F625" s="122">
        <f>F626+F627+F630+F633+F637+F638+F639</f>
        <v>0</v>
      </c>
      <c r="G625" s="122">
        <f>G626+G627+G630+G633+G637+G638+G639</f>
        <v>106</v>
      </c>
      <c r="H625" s="429"/>
      <c r="I625" s="429"/>
      <c r="J625" s="354"/>
    </row>
    <row r="626" spans="1:10" s="153" customFormat="1" ht="12.75">
      <c r="A626" s="155"/>
      <c r="B626" s="159">
        <v>3110</v>
      </c>
      <c r="C626" s="160" t="s">
        <v>74</v>
      </c>
      <c r="D626" s="381">
        <f>D569+D512+D454+D397+D340+D282+D225+D167</f>
        <v>0</v>
      </c>
      <c r="E626" s="381">
        <f>E569+E512+E454+E397+E340+E282+E225+E167</f>
        <v>212.5</v>
      </c>
      <c r="F626" s="170">
        <f>F569+F512+F454+F397+F340+F282+F225+F167</f>
        <v>0</v>
      </c>
      <c r="G626" s="170">
        <f>G569+G512+G454+G397+G340+G282+G225+G167</f>
        <v>106</v>
      </c>
      <c r="H626" s="429"/>
      <c r="I626" s="429"/>
      <c r="J626" s="354"/>
    </row>
    <row r="627" spans="1:10" s="153" customFormat="1" ht="12.75" customHeight="1" hidden="1">
      <c r="A627" s="155"/>
      <c r="B627" s="159">
        <v>3120</v>
      </c>
      <c r="C627" s="160" t="s">
        <v>75</v>
      </c>
      <c r="D627" s="382">
        <f>D628+D629</f>
        <v>0</v>
      </c>
      <c r="E627" s="382">
        <f>E628+E629</f>
        <v>0</v>
      </c>
      <c r="F627" s="122">
        <f>F628+F629</f>
        <v>0</v>
      </c>
      <c r="G627" s="122">
        <f>G628+G629</f>
        <v>0</v>
      </c>
      <c r="H627" s="429"/>
      <c r="I627" s="429"/>
      <c r="J627" s="354"/>
    </row>
    <row r="628" spans="1:10" s="153" customFormat="1" ht="12.75" customHeight="1" hidden="1">
      <c r="A628" s="155"/>
      <c r="B628" s="159">
        <v>3121</v>
      </c>
      <c r="C628" s="160" t="s">
        <v>76</v>
      </c>
      <c r="D628" s="381">
        <f aca="true" t="shared" si="7" ref="D628:G629">D571+D514+D456+D399+D342+D284+D227+D169</f>
        <v>0</v>
      </c>
      <c r="E628" s="381">
        <f t="shared" si="7"/>
        <v>0</v>
      </c>
      <c r="F628" s="170">
        <f t="shared" si="7"/>
        <v>0</v>
      </c>
      <c r="G628" s="170">
        <f t="shared" si="7"/>
        <v>0</v>
      </c>
      <c r="H628" s="429"/>
      <c r="I628" s="429"/>
      <c r="J628" s="354"/>
    </row>
    <row r="629" spans="1:10" s="153" customFormat="1" ht="12.75" customHeight="1" hidden="1">
      <c r="A629" s="155"/>
      <c r="B629" s="159">
        <v>3122</v>
      </c>
      <c r="C629" s="160" t="s">
        <v>77</v>
      </c>
      <c r="D629" s="381">
        <f t="shared" si="7"/>
        <v>0</v>
      </c>
      <c r="E629" s="381">
        <f t="shared" si="7"/>
        <v>0</v>
      </c>
      <c r="F629" s="170">
        <f t="shared" si="7"/>
        <v>0</v>
      </c>
      <c r="G629" s="170">
        <f t="shared" si="7"/>
        <v>0</v>
      </c>
      <c r="H629" s="429"/>
      <c r="I629" s="429"/>
      <c r="J629" s="354"/>
    </row>
    <row r="630" spans="1:10" s="153" customFormat="1" ht="12.75" customHeight="1" hidden="1">
      <c r="A630" s="155"/>
      <c r="B630" s="159">
        <v>3130</v>
      </c>
      <c r="C630" s="160" t="s">
        <v>78</v>
      </c>
      <c r="D630" s="382">
        <f>D631+D632</f>
        <v>0</v>
      </c>
      <c r="E630" s="382">
        <f>E631+E632</f>
        <v>0</v>
      </c>
      <c r="F630" s="122">
        <f>F631+F632</f>
        <v>0</v>
      </c>
      <c r="G630" s="122">
        <f>G631+G632</f>
        <v>0</v>
      </c>
      <c r="H630" s="429"/>
      <c r="I630" s="429"/>
      <c r="J630" s="354"/>
    </row>
    <row r="631" spans="1:10" s="153" customFormat="1" ht="12.75" customHeight="1" hidden="1">
      <c r="A631" s="155"/>
      <c r="B631" s="159">
        <v>3131</v>
      </c>
      <c r="C631" s="160" t="s">
        <v>79</v>
      </c>
      <c r="D631" s="381">
        <f aca="true" t="shared" si="8" ref="D631:G632">D574+D517+D459+D402+D345+D287+D230+D172</f>
        <v>0</v>
      </c>
      <c r="E631" s="381">
        <f t="shared" si="8"/>
        <v>0</v>
      </c>
      <c r="F631" s="170">
        <f t="shared" si="8"/>
        <v>0</v>
      </c>
      <c r="G631" s="170">
        <f t="shared" si="8"/>
        <v>0</v>
      </c>
      <c r="H631" s="429"/>
      <c r="I631" s="429"/>
      <c r="J631" s="354"/>
    </row>
    <row r="632" spans="1:10" s="153" customFormat="1" ht="12.75" customHeight="1" hidden="1">
      <c r="A632" s="155"/>
      <c r="B632" s="159">
        <v>3132</v>
      </c>
      <c r="C632" s="160" t="s">
        <v>80</v>
      </c>
      <c r="D632" s="381">
        <f t="shared" si="8"/>
        <v>0</v>
      </c>
      <c r="E632" s="381">
        <f t="shared" si="8"/>
        <v>0</v>
      </c>
      <c r="F632" s="170">
        <f t="shared" si="8"/>
        <v>0</v>
      </c>
      <c r="G632" s="170">
        <f t="shared" si="8"/>
        <v>0</v>
      </c>
      <c r="H632" s="429"/>
      <c r="I632" s="429"/>
      <c r="J632" s="354"/>
    </row>
    <row r="633" spans="1:10" s="153" customFormat="1" ht="12.75" customHeight="1">
      <c r="A633" s="155"/>
      <c r="B633" s="159">
        <v>3140</v>
      </c>
      <c r="C633" s="160" t="s">
        <v>81</v>
      </c>
      <c r="D633" s="382">
        <f>D634+D635+D636</f>
        <v>49.85</v>
      </c>
      <c r="E633" s="382">
        <f>E634+E635+E636</f>
        <v>0</v>
      </c>
      <c r="F633" s="122">
        <f>F634+F635+F636</f>
        <v>0</v>
      </c>
      <c r="G633" s="122">
        <f>G634+G635+G636</f>
        <v>0</v>
      </c>
      <c r="H633" s="429"/>
      <c r="I633" s="429"/>
      <c r="J633" s="354"/>
    </row>
    <row r="634" spans="1:10" s="153" customFormat="1" ht="12.75" customHeight="1" hidden="1">
      <c r="A634" s="155"/>
      <c r="B634" s="159">
        <v>3141</v>
      </c>
      <c r="C634" s="160" t="s">
        <v>82</v>
      </c>
      <c r="D634" s="381">
        <f aca="true" t="shared" si="9" ref="D634:G638">D577+D520+D462+D405+D348+D290+D233+D175</f>
        <v>0</v>
      </c>
      <c r="E634" s="381">
        <f t="shared" si="9"/>
        <v>0</v>
      </c>
      <c r="F634" s="170">
        <f t="shared" si="9"/>
        <v>0</v>
      </c>
      <c r="G634" s="170">
        <f t="shared" si="9"/>
        <v>0</v>
      </c>
      <c r="H634" s="429"/>
      <c r="I634" s="429"/>
      <c r="J634" s="354"/>
    </row>
    <row r="635" spans="1:10" s="153" customFormat="1" ht="12.75" customHeight="1">
      <c r="A635" s="155"/>
      <c r="B635" s="159">
        <v>3142</v>
      </c>
      <c r="C635" s="160" t="s">
        <v>83</v>
      </c>
      <c r="D635" s="381">
        <f t="shared" si="9"/>
        <v>49.85</v>
      </c>
      <c r="E635" s="381">
        <f t="shared" si="9"/>
        <v>0</v>
      </c>
      <c r="F635" s="170">
        <f t="shared" si="9"/>
        <v>0</v>
      </c>
      <c r="G635" s="170">
        <f t="shared" si="9"/>
        <v>0</v>
      </c>
      <c r="H635" s="429"/>
      <c r="I635" s="429"/>
      <c r="J635" s="354"/>
    </row>
    <row r="636" spans="1:10" s="153" customFormat="1" ht="12.75" customHeight="1" hidden="1">
      <c r="A636" s="155"/>
      <c r="B636" s="159">
        <v>3143</v>
      </c>
      <c r="C636" s="160" t="s">
        <v>84</v>
      </c>
      <c r="D636" s="381">
        <f t="shared" si="9"/>
        <v>0</v>
      </c>
      <c r="E636" s="381">
        <f t="shared" si="9"/>
        <v>0</v>
      </c>
      <c r="F636" s="170">
        <f t="shared" si="9"/>
        <v>0</v>
      </c>
      <c r="G636" s="170">
        <f t="shared" si="9"/>
        <v>0</v>
      </c>
      <c r="H636" s="429"/>
      <c r="I636" s="429"/>
      <c r="J636" s="354"/>
    </row>
    <row r="637" spans="1:10" s="153" customFormat="1" ht="12.75" customHeight="1" hidden="1">
      <c r="A637" s="155"/>
      <c r="B637" s="159">
        <v>3150</v>
      </c>
      <c r="C637" s="160" t="s">
        <v>85</v>
      </c>
      <c r="D637" s="381">
        <f t="shared" si="9"/>
        <v>0</v>
      </c>
      <c r="E637" s="381">
        <f t="shared" si="9"/>
        <v>0</v>
      </c>
      <c r="F637" s="170">
        <f t="shared" si="9"/>
        <v>0</v>
      </c>
      <c r="G637" s="170">
        <f t="shared" si="9"/>
        <v>0</v>
      </c>
      <c r="H637" s="429"/>
      <c r="I637" s="429"/>
      <c r="J637" s="354"/>
    </row>
    <row r="638" spans="1:10" s="153" customFormat="1" ht="12.75" customHeight="1" hidden="1">
      <c r="A638" s="155"/>
      <c r="B638" s="159">
        <v>3160</v>
      </c>
      <c r="C638" s="160" t="s">
        <v>86</v>
      </c>
      <c r="D638" s="381">
        <f t="shared" si="9"/>
        <v>0</v>
      </c>
      <c r="E638" s="381">
        <f t="shared" si="9"/>
        <v>0</v>
      </c>
      <c r="F638" s="170">
        <f t="shared" si="9"/>
        <v>0</v>
      </c>
      <c r="G638" s="170">
        <f t="shared" si="9"/>
        <v>0</v>
      </c>
      <c r="H638" s="429"/>
      <c r="I638" s="429"/>
      <c r="J638" s="354"/>
    </row>
    <row r="639" spans="1:10" s="153" customFormat="1" ht="12.75" customHeight="1" hidden="1">
      <c r="A639" s="155"/>
      <c r="B639" s="157">
        <v>3200</v>
      </c>
      <c r="C639" s="158" t="s">
        <v>87</v>
      </c>
      <c r="D639" s="382">
        <f>D640+D641+D642+D643</f>
        <v>0</v>
      </c>
      <c r="E639" s="382">
        <f>E640+E641+E642+E643</f>
        <v>0</v>
      </c>
      <c r="F639" s="122">
        <f>F640+F641+F642+F643</f>
        <v>0</v>
      </c>
      <c r="G639" s="122">
        <f>G640+G641+G642+G643</f>
        <v>0</v>
      </c>
      <c r="H639" s="429"/>
      <c r="I639" s="429"/>
      <c r="J639" s="354"/>
    </row>
    <row r="640" spans="1:10" s="153" customFormat="1" ht="12.75" customHeight="1" hidden="1">
      <c r="A640" s="155"/>
      <c r="B640" s="159">
        <v>3210</v>
      </c>
      <c r="C640" s="160" t="s">
        <v>88</v>
      </c>
      <c r="D640" s="381">
        <f aca="true" t="shared" si="10" ref="D640:G643">D583+D526+D468+D411+D354+D296+D239+D181</f>
        <v>0</v>
      </c>
      <c r="E640" s="381">
        <f t="shared" si="10"/>
        <v>0</v>
      </c>
      <c r="F640" s="170">
        <f t="shared" si="10"/>
        <v>0</v>
      </c>
      <c r="G640" s="170">
        <f t="shared" si="10"/>
        <v>0</v>
      </c>
      <c r="H640" s="429"/>
      <c r="I640" s="429"/>
      <c r="J640" s="354"/>
    </row>
    <row r="641" spans="1:10" s="153" customFormat="1" ht="12.75" customHeight="1" hidden="1">
      <c r="A641" s="155"/>
      <c r="B641" s="159">
        <v>3220</v>
      </c>
      <c r="C641" s="160" t="s">
        <v>89</v>
      </c>
      <c r="D641" s="381">
        <f t="shared" si="10"/>
        <v>0</v>
      </c>
      <c r="E641" s="381">
        <f t="shared" si="10"/>
        <v>0</v>
      </c>
      <c r="F641" s="170">
        <f t="shared" si="10"/>
        <v>0</v>
      </c>
      <c r="G641" s="170">
        <f t="shared" si="10"/>
        <v>0</v>
      </c>
      <c r="H641" s="429"/>
      <c r="I641" s="429"/>
      <c r="J641" s="354"/>
    </row>
    <row r="642" spans="1:10" s="153" customFormat="1" ht="12.75" customHeight="1" hidden="1">
      <c r="A642" s="155"/>
      <c r="B642" s="159">
        <v>3230</v>
      </c>
      <c r="C642" s="160" t="s">
        <v>90</v>
      </c>
      <c r="D642" s="381">
        <f t="shared" si="10"/>
        <v>0</v>
      </c>
      <c r="E642" s="381">
        <f t="shared" si="10"/>
        <v>0</v>
      </c>
      <c r="F642" s="170">
        <f t="shared" si="10"/>
        <v>0</v>
      </c>
      <c r="G642" s="170">
        <f t="shared" si="10"/>
        <v>0</v>
      </c>
      <c r="H642" s="429"/>
      <c r="I642" s="429"/>
      <c r="J642" s="354"/>
    </row>
    <row r="643" spans="1:10" s="153" customFormat="1" ht="12.75" customHeight="1" hidden="1">
      <c r="A643" s="155"/>
      <c r="B643" s="159">
        <v>3240</v>
      </c>
      <c r="C643" s="160" t="s">
        <v>91</v>
      </c>
      <c r="D643" s="381">
        <f t="shared" si="10"/>
        <v>0</v>
      </c>
      <c r="E643" s="381">
        <f t="shared" si="10"/>
        <v>0</v>
      </c>
      <c r="F643" s="170">
        <f t="shared" si="10"/>
        <v>0</v>
      </c>
      <c r="G643" s="170">
        <f t="shared" si="10"/>
        <v>0</v>
      </c>
      <c r="H643" s="429"/>
      <c r="I643" s="429"/>
      <c r="J643" s="354"/>
    </row>
    <row r="644" spans="1:10" s="156" customFormat="1" ht="12.75">
      <c r="A644" s="154"/>
      <c r="B644" s="154"/>
      <c r="C644" s="161" t="s">
        <v>3</v>
      </c>
      <c r="D644" s="381">
        <f>D589+D624</f>
        <v>26653.149999999994</v>
      </c>
      <c r="E644" s="381">
        <f>E589+E624</f>
        <v>41834.490000000005</v>
      </c>
      <c r="F644" s="170">
        <f>F589+F624</f>
        <v>30330.3</v>
      </c>
      <c r="G644" s="170">
        <f>G589+G624</f>
        <v>8138</v>
      </c>
      <c r="H644" s="429"/>
      <c r="I644" s="429"/>
      <c r="J644" s="355"/>
    </row>
    <row r="645" spans="2:10" s="165" customFormat="1" ht="12.75">
      <c r="B645" s="167">
        <v>1117370</v>
      </c>
      <c r="C645" s="168" t="s">
        <v>166</v>
      </c>
      <c r="D645" s="369">
        <f>D646+D681</f>
        <v>0</v>
      </c>
      <c r="E645" s="369">
        <f>E646+E681</f>
        <v>3016.5</v>
      </c>
      <c r="F645" s="166">
        <f>F646+F681</f>
        <v>0</v>
      </c>
      <c r="G645" s="166">
        <f>G646+G681</f>
        <v>0</v>
      </c>
      <c r="H645" s="402"/>
      <c r="I645" s="402"/>
      <c r="J645" s="350"/>
    </row>
    <row r="646" spans="1:9" ht="12.75">
      <c r="A646" s="6"/>
      <c r="B646" s="27">
        <v>2000</v>
      </c>
      <c r="C646" s="28" t="s">
        <v>37</v>
      </c>
      <c r="D646" s="370">
        <f>D647+D652+D669+D672+D676+D680</f>
        <v>0</v>
      </c>
      <c r="E646" s="370">
        <f>E647+E652+E669+E672+E676+E680</f>
        <v>3016.5</v>
      </c>
      <c r="F646" s="33">
        <f>F647+F652+F669+F672+F676+F680</f>
        <v>0</v>
      </c>
      <c r="G646" s="33">
        <f>G647+G652+G669+G672+G676+G680</f>
        <v>0</v>
      </c>
      <c r="H646" s="402"/>
      <c r="I646" s="402"/>
    </row>
    <row r="647" spans="1:9" ht="12.75" customHeight="1" hidden="1">
      <c r="A647" s="6"/>
      <c r="B647" s="29">
        <v>2100</v>
      </c>
      <c r="C647" s="30" t="s">
        <v>38</v>
      </c>
      <c r="D647" s="371">
        <f>D648+D651</f>
        <v>0</v>
      </c>
      <c r="E647" s="371">
        <f>E648+E651</f>
        <v>0</v>
      </c>
      <c r="F647" s="35">
        <f>F648+F651</f>
        <v>0</v>
      </c>
      <c r="G647" s="35">
        <f>G648+G651</f>
        <v>0</v>
      </c>
      <c r="H647" s="402"/>
      <c r="I647" s="402"/>
    </row>
    <row r="648" spans="1:9" ht="12.75" customHeight="1" hidden="1">
      <c r="A648" s="6"/>
      <c r="B648" s="29">
        <v>2110</v>
      </c>
      <c r="C648" s="30" t="s">
        <v>39</v>
      </c>
      <c r="D648" s="371">
        <f>D649+D650</f>
        <v>0</v>
      </c>
      <c r="E648" s="371">
        <f>E649+E650</f>
        <v>0</v>
      </c>
      <c r="F648" s="35">
        <f>F649+F650</f>
        <v>0</v>
      </c>
      <c r="G648" s="35">
        <f>G649+G650</f>
        <v>0</v>
      </c>
      <c r="H648" s="402"/>
      <c r="I648" s="402"/>
    </row>
    <row r="649" spans="1:9" ht="12.75" customHeight="1" hidden="1">
      <c r="A649" s="6"/>
      <c r="B649" s="29">
        <v>2111</v>
      </c>
      <c r="C649" s="30" t="s">
        <v>42</v>
      </c>
      <c r="D649" s="372"/>
      <c r="E649" s="372"/>
      <c r="F649" s="34"/>
      <c r="G649" s="34"/>
      <c r="H649" s="402"/>
      <c r="I649" s="402"/>
    </row>
    <row r="650" spans="1:9" ht="12.75" customHeight="1" hidden="1">
      <c r="A650" s="6"/>
      <c r="B650" s="29">
        <v>2112</v>
      </c>
      <c r="C650" s="30" t="s">
        <v>43</v>
      </c>
      <c r="D650" s="372"/>
      <c r="E650" s="372"/>
      <c r="F650" s="34"/>
      <c r="G650" s="34"/>
      <c r="H650" s="402"/>
      <c r="I650" s="402"/>
    </row>
    <row r="651" spans="1:9" ht="12.75" customHeight="1" hidden="1">
      <c r="A651" s="6"/>
      <c r="B651" s="29">
        <v>2120</v>
      </c>
      <c r="C651" s="30" t="s">
        <v>44</v>
      </c>
      <c r="D651" s="372"/>
      <c r="E651" s="372"/>
      <c r="F651" s="34"/>
      <c r="G651" s="34"/>
      <c r="H651" s="402"/>
      <c r="I651" s="402"/>
    </row>
    <row r="652" spans="1:9" ht="12.75" customHeight="1" hidden="1">
      <c r="A652" s="6"/>
      <c r="B652" s="27">
        <v>2200</v>
      </c>
      <c r="C652" s="28" t="s">
        <v>45</v>
      </c>
      <c r="D652" s="370">
        <f>SUM(D653:D659)+D666</f>
        <v>0</v>
      </c>
      <c r="E652" s="370">
        <f>SUM(E653:E659)+E666</f>
        <v>0</v>
      </c>
      <c r="F652" s="33">
        <f>SUM(F653:F659)+F666</f>
        <v>0</v>
      </c>
      <c r="G652" s="33">
        <f>SUM(G653:G659)+G666</f>
        <v>0</v>
      </c>
      <c r="H652" s="402"/>
      <c r="I652" s="402"/>
    </row>
    <row r="653" spans="1:9" ht="12.75" customHeight="1" hidden="1">
      <c r="A653" s="6"/>
      <c r="B653" s="29">
        <v>2210</v>
      </c>
      <c r="C653" s="30" t="s">
        <v>46</v>
      </c>
      <c r="D653" s="372"/>
      <c r="E653" s="372"/>
      <c r="F653" s="34"/>
      <c r="G653" s="34"/>
      <c r="H653" s="402"/>
      <c r="I653" s="402"/>
    </row>
    <row r="654" spans="1:9" ht="12.75" customHeight="1" hidden="1">
      <c r="A654" s="6"/>
      <c r="B654" s="29">
        <v>2220</v>
      </c>
      <c r="C654" s="30" t="s">
        <v>47</v>
      </c>
      <c r="D654" s="372"/>
      <c r="E654" s="372"/>
      <c r="F654" s="34"/>
      <c r="G654" s="34"/>
      <c r="H654" s="402"/>
      <c r="I654" s="402"/>
    </row>
    <row r="655" spans="1:9" ht="12.75" customHeight="1" hidden="1">
      <c r="A655" s="6"/>
      <c r="B655" s="29">
        <v>2230</v>
      </c>
      <c r="C655" s="30" t="s">
        <v>48</v>
      </c>
      <c r="D655" s="372"/>
      <c r="E655" s="372"/>
      <c r="F655" s="34"/>
      <c r="G655" s="34"/>
      <c r="H655" s="402"/>
      <c r="I655" s="402"/>
    </row>
    <row r="656" spans="1:9" ht="12.75" customHeight="1" hidden="1">
      <c r="A656" s="6"/>
      <c r="B656" s="29">
        <v>2240</v>
      </c>
      <c r="C656" s="30" t="s">
        <v>49</v>
      </c>
      <c r="D656" s="372"/>
      <c r="E656" s="372"/>
      <c r="F656" s="34"/>
      <c r="G656" s="34"/>
      <c r="H656" s="402"/>
      <c r="I656" s="402"/>
    </row>
    <row r="657" spans="1:9" ht="12.75" customHeight="1" hidden="1">
      <c r="A657" s="6"/>
      <c r="B657" s="29">
        <v>2250</v>
      </c>
      <c r="C657" s="30" t="s">
        <v>50</v>
      </c>
      <c r="D657" s="372"/>
      <c r="E657" s="372"/>
      <c r="F657" s="34"/>
      <c r="G657" s="34"/>
      <c r="H657" s="402"/>
      <c r="I657" s="402"/>
    </row>
    <row r="658" spans="1:9" ht="12.75" customHeight="1" hidden="1">
      <c r="A658" s="6"/>
      <c r="B658" s="29">
        <v>2260</v>
      </c>
      <c r="C658" s="30" t="s">
        <v>51</v>
      </c>
      <c r="D658" s="372"/>
      <c r="E658" s="372"/>
      <c r="F658" s="34"/>
      <c r="G658" s="34"/>
      <c r="H658" s="402"/>
      <c r="I658" s="402"/>
    </row>
    <row r="659" spans="1:9" ht="12.75" customHeight="1" hidden="1">
      <c r="A659" s="6"/>
      <c r="B659" s="27">
        <v>2270</v>
      </c>
      <c r="C659" s="28" t="s">
        <v>52</v>
      </c>
      <c r="D659" s="370">
        <f>D660+D661+D662+D663+D664+D665</f>
        <v>0</v>
      </c>
      <c r="E659" s="370">
        <f>E660+E661+E662+E663+E664+E665</f>
        <v>0</v>
      </c>
      <c r="F659" s="33">
        <f>F660+F661+F662+F663+F664+F665</f>
        <v>0</v>
      </c>
      <c r="G659" s="33">
        <f>G660+G661+G662+G663+G664+G665</f>
        <v>0</v>
      </c>
      <c r="H659" s="402"/>
      <c r="I659" s="402"/>
    </row>
    <row r="660" spans="1:9" ht="12.75" customHeight="1" hidden="1">
      <c r="A660" s="6"/>
      <c r="B660" s="29">
        <v>2271</v>
      </c>
      <c r="C660" s="30" t="s">
        <v>53</v>
      </c>
      <c r="D660" s="372"/>
      <c r="E660" s="372"/>
      <c r="F660" s="34"/>
      <c r="G660" s="34"/>
      <c r="H660" s="402"/>
      <c r="I660" s="402"/>
    </row>
    <row r="661" spans="1:9" ht="12.75" customHeight="1" hidden="1">
      <c r="A661" s="6"/>
      <c r="B661" s="29">
        <v>2272</v>
      </c>
      <c r="C661" s="30" t="s">
        <v>54</v>
      </c>
      <c r="D661" s="372"/>
      <c r="E661" s="372"/>
      <c r="F661" s="34"/>
      <c r="G661" s="34"/>
      <c r="H661" s="402"/>
      <c r="I661" s="402"/>
    </row>
    <row r="662" spans="1:9" ht="12.75" customHeight="1" hidden="1">
      <c r="A662" s="6"/>
      <c r="B662" s="29">
        <v>2273</v>
      </c>
      <c r="C662" s="30" t="s">
        <v>55</v>
      </c>
      <c r="D662" s="372"/>
      <c r="E662" s="372"/>
      <c r="F662" s="34"/>
      <c r="G662" s="34"/>
      <c r="H662" s="402"/>
      <c r="I662" s="402"/>
    </row>
    <row r="663" spans="1:9" ht="12.75" customHeight="1" hidden="1">
      <c r="A663" s="6"/>
      <c r="B663" s="29">
        <v>2274</v>
      </c>
      <c r="C663" s="30" t="s">
        <v>56</v>
      </c>
      <c r="D663" s="372"/>
      <c r="E663" s="372"/>
      <c r="F663" s="34"/>
      <c r="G663" s="34"/>
      <c r="H663" s="402"/>
      <c r="I663" s="402"/>
    </row>
    <row r="664" spans="1:9" ht="12.75" customHeight="1" hidden="1">
      <c r="A664" s="6"/>
      <c r="B664" s="29">
        <v>2275</v>
      </c>
      <c r="C664" s="30" t="s">
        <v>57</v>
      </c>
      <c r="D664" s="372"/>
      <c r="E664" s="372"/>
      <c r="F664" s="34"/>
      <c r="G664" s="34"/>
      <c r="H664" s="402"/>
      <c r="I664" s="402"/>
    </row>
    <row r="665" spans="1:9" ht="12.75" customHeight="1" hidden="1">
      <c r="A665" s="6"/>
      <c r="B665" s="31">
        <v>2276</v>
      </c>
      <c r="C665" s="32" t="s">
        <v>58</v>
      </c>
      <c r="D665" s="372"/>
      <c r="E665" s="372"/>
      <c r="F665" s="34"/>
      <c r="G665" s="34"/>
      <c r="H665" s="402"/>
      <c r="I665" s="402"/>
    </row>
    <row r="666" spans="1:9" ht="12.75" customHeight="1" hidden="1">
      <c r="A666" s="6"/>
      <c r="B666" s="27">
        <v>2280</v>
      </c>
      <c r="C666" s="28" t="s">
        <v>59</v>
      </c>
      <c r="D666" s="370">
        <f>D667+D668</f>
        <v>0</v>
      </c>
      <c r="E666" s="370">
        <f>E667+E668</f>
        <v>0</v>
      </c>
      <c r="F666" s="33">
        <f>F667+F668</f>
        <v>0</v>
      </c>
      <c r="G666" s="33">
        <f>G667+G668</f>
        <v>0</v>
      </c>
      <c r="H666" s="402"/>
      <c r="I666" s="402"/>
    </row>
    <row r="667" spans="1:9" ht="12.75" customHeight="1" hidden="1">
      <c r="A667" s="6"/>
      <c r="B667" s="29">
        <v>2281</v>
      </c>
      <c r="C667" s="30" t="s">
        <v>60</v>
      </c>
      <c r="D667" s="372"/>
      <c r="E667" s="372"/>
      <c r="F667" s="34"/>
      <c r="G667" s="34"/>
      <c r="H667" s="402"/>
      <c r="I667" s="402"/>
    </row>
    <row r="668" spans="1:9" ht="12.75" customHeight="1" hidden="1">
      <c r="A668" s="6"/>
      <c r="B668" s="29">
        <v>2282</v>
      </c>
      <c r="C668" s="30" t="s">
        <v>61</v>
      </c>
      <c r="D668" s="372"/>
      <c r="E668" s="372"/>
      <c r="F668" s="34"/>
      <c r="G668" s="34"/>
      <c r="H668" s="402"/>
      <c r="I668" s="402"/>
    </row>
    <row r="669" spans="1:9" ht="12.75" customHeight="1" hidden="1">
      <c r="A669" s="6"/>
      <c r="B669" s="27">
        <v>2400</v>
      </c>
      <c r="C669" s="28" t="s">
        <v>62</v>
      </c>
      <c r="D669" s="372">
        <f>D670+D671</f>
        <v>0</v>
      </c>
      <c r="E669" s="372">
        <f>E670+E671</f>
        <v>0</v>
      </c>
      <c r="F669" s="34">
        <f>F670+F671</f>
        <v>0</v>
      </c>
      <c r="G669" s="34">
        <f>G670+G671</f>
        <v>0</v>
      </c>
      <c r="H669" s="402"/>
      <c r="I669" s="402"/>
    </row>
    <row r="670" spans="1:9" ht="12.75" customHeight="1" hidden="1">
      <c r="A670" s="6"/>
      <c r="B670" s="29">
        <v>2410</v>
      </c>
      <c r="C670" s="30" t="s">
        <v>63</v>
      </c>
      <c r="D670" s="372"/>
      <c r="E670" s="372"/>
      <c r="F670" s="34"/>
      <c r="G670" s="34"/>
      <c r="H670" s="402"/>
      <c r="I670" s="402"/>
    </row>
    <row r="671" spans="1:9" ht="12.75" customHeight="1" hidden="1">
      <c r="A671" s="6"/>
      <c r="B671" s="29">
        <v>2420</v>
      </c>
      <c r="C671" s="30" t="s">
        <v>64</v>
      </c>
      <c r="D671" s="372"/>
      <c r="E671" s="372"/>
      <c r="F671" s="34"/>
      <c r="G671" s="34"/>
      <c r="H671" s="402"/>
      <c r="I671" s="402"/>
    </row>
    <row r="672" spans="1:9" ht="12.75">
      <c r="A672" s="6"/>
      <c r="B672" s="27">
        <v>2600</v>
      </c>
      <c r="C672" s="28" t="s">
        <v>65</v>
      </c>
      <c r="D672" s="370">
        <f>D673+D674+D675</f>
        <v>0</v>
      </c>
      <c r="E672" s="370">
        <f>E673+E674+E675</f>
        <v>3016.5</v>
      </c>
      <c r="F672" s="33">
        <f>F673+F674+F675</f>
        <v>0</v>
      </c>
      <c r="G672" s="33">
        <f>G673+G674+G675</f>
        <v>0</v>
      </c>
      <c r="H672" s="402"/>
      <c r="I672" s="402"/>
    </row>
    <row r="673" spans="1:9" ht="12.75">
      <c r="A673" s="6"/>
      <c r="B673" s="29">
        <v>2610</v>
      </c>
      <c r="C673" s="30" t="s">
        <v>66</v>
      </c>
      <c r="D673" s="372"/>
      <c r="E673" s="372">
        <v>3016.5</v>
      </c>
      <c r="F673" s="34"/>
      <c r="G673" s="34"/>
      <c r="H673" s="402"/>
      <c r="I673" s="402"/>
    </row>
    <row r="674" spans="1:9" ht="12.75" customHeight="1" hidden="1">
      <c r="A674" s="6"/>
      <c r="B674" s="29">
        <v>2620</v>
      </c>
      <c r="C674" s="30" t="s">
        <v>67</v>
      </c>
      <c r="D674" s="372"/>
      <c r="E674" s="372"/>
      <c r="F674" s="34"/>
      <c r="G674" s="34"/>
      <c r="H674" s="402"/>
      <c r="I674" s="402"/>
    </row>
    <row r="675" spans="1:9" ht="12.75" customHeight="1" hidden="1">
      <c r="A675" s="6"/>
      <c r="B675" s="29">
        <v>2630</v>
      </c>
      <c r="C675" s="30" t="s">
        <v>68</v>
      </c>
      <c r="D675" s="372"/>
      <c r="E675" s="372"/>
      <c r="F675" s="34"/>
      <c r="G675" s="34"/>
      <c r="H675" s="402"/>
      <c r="I675" s="402"/>
    </row>
    <row r="676" spans="1:9" ht="12.75" customHeight="1" hidden="1">
      <c r="A676" s="6"/>
      <c r="B676" s="27">
        <v>2700</v>
      </c>
      <c r="C676" s="28" t="s">
        <v>69</v>
      </c>
      <c r="D676" s="370">
        <f>D677+D678+D679</f>
        <v>0</v>
      </c>
      <c r="E676" s="370">
        <f>E677+E678+E679</f>
        <v>0</v>
      </c>
      <c r="F676" s="33">
        <f>F677+F678+F679</f>
        <v>0</v>
      </c>
      <c r="G676" s="33">
        <f>G677+G678+G679</f>
        <v>0</v>
      </c>
      <c r="H676" s="402"/>
      <c r="I676" s="402"/>
    </row>
    <row r="677" spans="1:9" ht="12.75" customHeight="1" hidden="1">
      <c r="A677" s="6"/>
      <c r="B677" s="29">
        <v>2710</v>
      </c>
      <c r="C677" s="30" t="s">
        <v>70</v>
      </c>
      <c r="D677" s="373"/>
      <c r="E677" s="373"/>
      <c r="F677" s="42"/>
      <c r="G677" s="42"/>
      <c r="H677" s="402"/>
      <c r="I677" s="402"/>
    </row>
    <row r="678" spans="1:9" ht="12.75" customHeight="1" hidden="1">
      <c r="A678" s="6"/>
      <c r="B678" s="29">
        <v>2720</v>
      </c>
      <c r="C678" s="30" t="s">
        <v>71</v>
      </c>
      <c r="D678" s="373"/>
      <c r="E678" s="373"/>
      <c r="F678" s="34"/>
      <c r="G678" s="42"/>
      <c r="H678" s="402"/>
      <c r="I678" s="402"/>
    </row>
    <row r="679" spans="1:9" ht="12.75" customHeight="1" hidden="1">
      <c r="A679" s="6"/>
      <c r="B679" s="29">
        <v>2730</v>
      </c>
      <c r="C679" s="30" t="s">
        <v>72</v>
      </c>
      <c r="D679" s="373"/>
      <c r="E679" s="373"/>
      <c r="F679" s="34"/>
      <c r="G679" s="42"/>
      <c r="H679" s="402"/>
      <c r="I679" s="402"/>
    </row>
    <row r="680" spans="1:9" ht="12.75" customHeight="1" hidden="1">
      <c r="A680" s="6"/>
      <c r="B680" s="27">
        <v>2800</v>
      </c>
      <c r="C680" s="28" t="s">
        <v>73</v>
      </c>
      <c r="D680" s="373"/>
      <c r="E680" s="372"/>
      <c r="F680" s="34"/>
      <c r="G680" s="42"/>
      <c r="H680" s="402"/>
      <c r="I680" s="402"/>
    </row>
    <row r="681" spans="1:9" ht="12.75" customHeight="1" hidden="1">
      <c r="A681" s="21"/>
      <c r="B681" s="27">
        <v>3000</v>
      </c>
      <c r="C681" s="28" t="s">
        <v>40</v>
      </c>
      <c r="D681" s="374">
        <f>D682+D696</f>
        <v>0</v>
      </c>
      <c r="E681" s="374">
        <f>E682+E696</f>
        <v>0</v>
      </c>
      <c r="F681" s="40">
        <f>F682+F696</f>
        <v>0</v>
      </c>
      <c r="G681" s="40">
        <f>G682+G696</f>
        <v>0</v>
      </c>
      <c r="H681" s="402"/>
      <c r="I681" s="402"/>
    </row>
    <row r="682" spans="1:9" ht="12.75" customHeight="1" hidden="1">
      <c r="A682" s="21"/>
      <c r="B682" s="27">
        <v>3100</v>
      </c>
      <c r="C682" s="28" t="s">
        <v>41</v>
      </c>
      <c r="D682" s="374">
        <f>D683+D684+D687+D690+D694+D695+D696</f>
        <v>0</v>
      </c>
      <c r="E682" s="374">
        <f>E683+E684+E687+E690+E694+E695+E696</f>
        <v>0</v>
      </c>
      <c r="F682" s="40">
        <f>F683+F684+F687+F690+F694+F695+F696</f>
        <v>0</v>
      </c>
      <c r="G682" s="40">
        <f>G683+G684+G687+G690+G694+G695+G696</f>
        <v>0</v>
      </c>
      <c r="H682" s="402"/>
      <c r="I682" s="402"/>
    </row>
    <row r="683" spans="1:9" ht="12.75" customHeight="1" hidden="1">
      <c r="A683" s="21"/>
      <c r="B683" s="29">
        <v>3110</v>
      </c>
      <c r="C683" s="30" t="s">
        <v>74</v>
      </c>
      <c r="D683" s="375"/>
      <c r="E683" s="375"/>
      <c r="F683" s="41"/>
      <c r="G683" s="41"/>
      <c r="H683" s="402"/>
      <c r="I683" s="402"/>
    </row>
    <row r="684" spans="1:9" ht="12.75" customHeight="1" hidden="1">
      <c r="A684" s="21"/>
      <c r="B684" s="29">
        <v>3120</v>
      </c>
      <c r="C684" s="30" t="s">
        <v>75</v>
      </c>
      <c r="D684" s="374">
        <f>D685+D686</f>
        <v>0</v>
      </c>
      <c r="E684" s="374">
        <f>E685+E686</f>
        <v>0</v>
      </c>
      <c r="F684" s="40">
        <f>F685+F686</f>
        <v>0</v>
      </c>
      <c r="G684" s="40">
        <f>G685+G686</f>
        <v>0</v>
      </c>
      <c r="H684" s="402"/>
      <c r="I684" s="402"/>
    </row>
    <row r="685" spans="1:9" ht="12.75" customHeight="1" hidden="1">
      <c r="A685" s="21"/>
      <c r="B685" s="29">
        <v>3121</v>
      </c>
      <c r="C685" s="30" t="s">
        <v>76</v>
      </c>
      <c r="D685" s="375"/>
      <c r="E685" s="375"/>
      <c r="F685" s="41"/>
      <c r="G685" s="41"/>
      <c r="H685" s="402"/>
      <c r="I685" s="402"/>
    </row>
    <row r="686" spans="1:9" ht="12.75" customHeight="1" hidden="1">
      <c r="A686" s="21"/>
      <c r="B686" s="29">
        <v>3122</v>
      </c>
      <c r="C686" s="30" t="s">
        <v>77</v>
      </c>
      <c r="D686" s="375"/>
      <c r="E686" s="375"/>
      <c r="F686" s="41"/>
      <c r="G686" s="41"/>
      <c r="H686" s="402"/>
      <c r="I686" s="402"/>
    </row>
    <row r="687" spans="1:9" ht="12.75" customHeight="1" hidden="1">
      <c r="A687" s="21"/>
      <c r="B687" s="29">
        <v>3130</v>
      </c>
      <c r="C687" s="30" t="s">
        <v>78</v>
      </c>
      <c r="D687" s="374">
        <f>D688+D689</f>
        <v>0</v>
      </c>
      <c r="E687" s="374">
        <f>E688+E689</f>
        <v>0</v>
      </c>
      <c r="F687" s="40">
        <f>F688+F689</f>
        <v>0</v>
      </c>
      <c r="G687" s="40">
        <f>G688+G689</f>
        <v>0</v>
      </c>
      <c r="H687" s="402"/>
      <c r="I687" s="402"/>
    </row>
    <row r="688" spans="1:9" ht="12.75" customHeight="1" hidden="1">
      <c r="A688" s="21"/>
      <c r="B688" s="29">
        <v>3131</v>
      </c>
      <c r="C688" s="30" t="s">
        <v>79</v>
      </c>
      <c r="D688" s="375"/>
      <c r="E688" s="375"/>
      <c r="F688" s="41"/>
      <c r="G688" s="41"/>
      <c r="H688" s="402"/>
      <c r="I688" s="402"/>
    </row>
    <row r="689" spans="1:9" ht="12.75" customHeight="1" hidden="1">
      <c r="A689" s="21"/>
      <c r="B689" s="29">
        <v>3132</v>
      </c>
      <c r="C689" s="30" t="s">
        <v>80</v>
      </c>
      <c r="D689" s="375"/>
      <c r="E689" s="375"/>
      <c r="F689" s="41"/>
      <c r="G689" s="41"/>
      <c r="H689" s="402"/>
      <c r="I689" s="402"/>
    </row>
    <row r="690" spans="1:9" ht="12.75" customHeight="1" hidden="1">
      <c r="A690" s="21"/>
      <c r="B690" s="29">
        <v>3140</v>
      </c>
      <c r="C690" s="30" t="s">
        <v>81</v>
      </c>
      <c r="D690" s="374">
        <f>D691+D692+D693</f>
        <v>0</v>
      </c>
      <c r="E690" s="374">
        <f>E691+E692+E693</f>
        <v>0</v>
      </c>
      <c r="F690" s="40">
        <f>F691+F692+F693</f>
        <v>0</v>
      </c>
      <c r="G690" s="40">
        <f>G691+G692+G693</f>
        <v>0</v>
      </c>
      <c r="H690" s="402"/>
      <c r="I690" s="402"/>
    </row>
    <row r="691" spans="1:9" ht="12.75" customHeight="1" hidden="1">
      <c r="A691" s="21"/>
      <c r="B691" s="29">
        <v>3141</v>
      </c>
      <c r="C691" s="30" t="s">
        <v>82</v>
      </c>
      <c r="D691" s="375"/>
      <c r="E691" s="375"/>
      <c r="F691" s="41"/>
      <c r="G691" s="41"/>
      <c r="H691" s="402"/>
      <c r="I691" s="402"/>
    </row>
    <row r="692" spans="1:9" ht="12.75" customHeight="1" hidden="1">
      <c r="A692" s="21"/>
      <c r="B692" s="29">
        <v>3142</v>
      </c>
      <c r="C692" s="30" t="s">
        <v>83</v>
      </c>
      <c r="D692" s="375"/>
      <c r="E692" s="375"/>
      <c r="F692" s="41"/>
      <c r="G692" s="41"/>
      <c r="H692" s="402"/>
      <c r="I692" s="402"/>
    </row>
    <row r="693" spans="1:9" ht="12.75" customHeight="1" hidden="1">
      <c r="A693" s="21"/>
      <c r="B693" s="29">
        <v>3143</v>
      </c>
      <c r="C693" s="30" t="s">
        <v>84</v>
      </c>
      <c r="D693" s="375"/>
      <c r="E693" s="375"/>
      <c r="F693" s="41"/>
      <c r="G693" s="41"/>
      <c r="H693" s="402"/>
      <c r="I693" s="402"/>
    </row>
    <row r="694" spans="1:9" ht="12.75" customHeight="1" hidden="1">
      <c r="A694" s="21"/>
      <c r="B694" s="29">
        <v>3150</v>
      </c>
      <c r="C694" s="30" t="s">
        <v>85</v>
      </c>
      <c r="D694" s="375"/>
      <c r="E694" s="375"/>
      <c r="F694" s="41"/>
      <c r="G694" s="41"/>
      <c r="H694" s="402"/>
      <c r="I694" s="402"/>
    </row>
    <row r="695" spans="1:9" ht="12.75" customHeight="1" hidden="1">
      <c r="A695" s="21"/>
      <c r="B695" s="29">
        <v>3160</v>
      </c>
      <c r="C695" s="30" t="s">
        <v>86</v>
      </c>
      <c r="D695" s="375"/>
      <c r="E695" s="375"/>
      <c r="F695" s="41"/>
      <c r="G695" s="41"/>
      <c r="H695" s="402"/>
      <c r="I695" s="402"/>
    </row>
    <row r="696" spans="1:9" ht="12.75" customHeight="1" hidden="1">
      <c r="A696" s="21"/>
      <c r="B696" s="27">
        <v>3200</v>
      </c>
      <c r="C696" s="28" t="s">
        <v>87</v>
      </c>
      <c r="D696" s="374">
        <f>D697+D698+D699+D700</f>
        <v>0</v>
      </c>
      <c r="E696" s="374">
        <f>E697+E698+E699+E700</f>
        <v>0</v>
      </c>
      <c r="F696" s="40">
        <f>F697+F698+F699+F700</f>
        <v>0</v>
      </c>
      <c r="G696" s="40">
        <f>G697+G698+G699+G700</f>
        <v>0</v>
      </c>
      <c r="H696" s="402"/>
      <c r="I696" s="402"/>
    </row>
    <row r="697" spans="1:9" ht="12.75" customHeight="1" hidden="1">
      <c r="A697" s="21"/>
      <c r="B697" s="29">
        <v>3210</v>
      </c>
      <c r="C697" s="30" t="s">
        <v>88</v>
      </c>
      <c r="D697" s="375"/>
      <c r="E697" s="375"/>
      <c r="F697" s="41"/>
      <c r="G697" s="41"/>
      <c r="H697" s="402"/>
      <c r="I697" s="402"/>
    </row>
    <row r="698" spans="1:9" ht="12.75" customHeight="1" hidden="1">
      <c r="A698" s="21"/>
      <c r="B698" s="29">
        <v>3220</v>
      </c>
      <c r="C698" s="30" t="s">
        <v>89</v>
      </c>
      <c r="D698" s="375"/>
      <c r="E698" s="375"/>
      <c r="F698" s="41"/>
      <c r="G698" s="41"/>
      <c r="H698" s="402"/>
      <c r="I698" s="402"/>
    </row>
    <row r="699" spans="1:9" ht="12.75" customHeight="1" hidden="1">
      <c r="A699" s="21"/>
      <c r="B699" s="29">
        <v>3230</v>
      </c>
      <c r="C699" s="30" t="s">
        <v>90</v>
      </c>
      <c r="D699" s="375"/>
      <c r="E699" s="375"/>
      <c r="F699" s="41"/>
      <c r="G699" s="41"/>
      <c r="H699" s="402"/>
      <c r="I699" s="402"/>
    </row>
    <row r="700" spans="1:9" ht="12.75" customHeight="1" hidden="1">
      <c r="A700" s="21"/>
      <c r="B700" s="29">
        <v>3240</v>
      </c>
      <c r="C700" s="30" t="s">
        <v>91</v>
      </c>
      <c r="D700" s="375"/>
      <c r="E700" s="375"/>
      <c r="F700" s="41"/>
      <c r="G700" s="41"/>
      <c r="H700" s="402"/>
      <c r="I700" s="402"/>
    </row>
    <row r="701" spans="1:10" s="19" customFormat="1" ht="12.75">
      <c r="A701" s="7"/>
      <c r="B701" s="7"/>
      <c r="C701" s="20" t="s">
        <v>3</v>
      </c>
      <c r="D701" s="372">
        <f>D646+D681</f>
        <v>0</v>
      </c>
      <c r="E701" s="372">
        <f>E646+E681</f>
        <v>3016.5</v>
      </c>
      <c r="F701" s="34">
        <f>F646+F681</f>
        <v>0</v>
      </c>
      <c r="G701" s="34">
        <f>G646+G681</f>
        <v>0</v>
      </c>
      <c r="H701" s="402"/>
      <c r="I701" s="402"/>
      <c r="J701" s="353"/>
    </row>
    <row r="702" spans="2:10" s="165" customFormat="1" ht="12.75">
      <c r="B702" s="167">
        <v>1119770</v>
      </c>
      <c r="C702" s="169" t="s">
        <v>167</v>
      </c>
      <c r="D702" s="369">
        <f>D703+D738</f>
        <v>0</v>
      </c>
      <c r="E702" s="369">
        <f>E703+E738</f>
        <v>13500</v>
      </c>
      <c r="F702" s="166">
        <f>F703+F738</f>
        <v>0</v>
      </c>
      <c r="G702" s="166">
        <f>G703+G738</f>
        <v>0</v>
      </c>
      <c r="H702" s="402"/>
      <c r="I702" s="402"/>
      <c r="J702" s="350"/>
    </row>
    <row r="703" spans="1:9" ht="12.75">
      <c r="A703" s="6"/>
      <c r="B703" s="27">
        <v>2000</v>
      </c>
      <c r="C703" s="28" t="s">
        <v>37</v>
      </c>
      <c r="D703" s="370">
        <f>D704+D709+D726+D729+D733+D737</f>
        <v>0</v>
      </c>
      <c r="E703" s="370">
        <f>E704+E709+E726+E729+E733+E737</f>
        <v>13500</v>
      </c>
      <c r="F703" s="33">
        <f>F704+F709+F726+F729+F733+F737</f>
        <v>0</v>
      </c>
      <c r="G703" s="33">
        <f>G704+G709+G726+G729+G733+G737</f>
        <v>0</v>
      </c>
      <c r="H703" s="402"/>
      <c r="I703" s="402"/>
    </row>
    <row r="704" spans="1:9" ht="12.75" customHeight="1" hidden="1">
      <c r="A704" s="6"/>
      <c r="B704" s="29">
        <v>2100</v>
      </c>
      <c r="C704" s="30" t="s">
        <v>38</v>
      </c>
      <c r="D704" s="371">
        <f>D705+D708</f>
        <v>0</v>
      </c>
      <c r="E704" s="371">
        <f>E705+E708</f>
        <v>0</v>
      </c>
      <c r="F704" s="35">
        <f>F705+F708</f>
        <v>0</v>
      </c>
      <c r="G704" s="35">
        <f>G705+G708</f>
        <v>0</v>
      </c>
      <c r="H704" s="402"/>
      <c r="I704" s="402"/>
    </row>
    <row r="705" spans="1:9" ht="12.75" customHeight="1" hidden="1">
      <c r="A705" s="6"/>
      <c r="B705" s="29">
        <v>2110</v>
      </c>
      <c r="C705" s="30" t="s">
        <v>39</v>
      </c>
      <c r="D705" s="371">
        <f>D706+D707</f>
        <v>0</v>
      </c>
      <c r="E705" s="371">
        <f>E706+E707</f>
        <v>0</v>
      </c>
      <c r="F705" s="35">
        <f>F706+F707</f>
        <v>0</v>
      </c>
      <c r="G705" s="35">
        <f>G706+G707</f>
        <v>0</v>
      </c>
      <c r="H705" s="402"/>
      <c r="I705" s="402"/>
    </row>
    <row r="706" spans="1:9" ht="12.75" customHeight="1" hidden="1">
      <c r="A706" s="6"/>
      <c r="B706" s="29">
        <v>2111</v>
      </c>
      <c r="C706" s="30" t="s">
        <v>42</v>
      </c>
      <c r="D706" s="372"/>
      <c r="E706" s="372"/>
      <c r="F706" s="34"/>
      <c r="G706" s="34"/>
      <c r="H706" s="402"/>
      <c r="I706" s="402"/>
    </row>
    <row r="707" spans="1:9" ht="12.75" customHeight="1" hidden="1">
      <c r="A707" s="6"/>
      <c r="B707" s="29">
        <v>2112</v>
      </c>
      <c r="C707" s="30" t="s">
        <v>43</v>
      </c>
      <c r="D707" s="372"/>
      <c r="E707" s="372"/>
      <c r="F707" s="34"/>
      <c r="G707" s="34"/>
      <c r="H707" s="402"/>
      <c r="I707" s="402"/>
    </row>
    <row r="708" spans="1:9" ht="12.75" customHeight="1" hidden="1">
      <c r="A708" s="6"/>
      <c r="B708" s="29">
        <v>2120</v>
      </c>
      <c r="C708" s="30" t="s">
        <v>44</v>
      </c>
      <c r="D708" s="372"/>
      <c r="E708" s="372"/>
      <c r="F708" s="34"/>
      <c r="G708" s="34"/>
      <c r="H708" s="402"/>
      <c r="I708" s="402"/>
    </row>
    <row r="709" spans="1:9" ht="12.75" customHeight="1" hidden="1">
      <c r="A709" s="6"/>
      <c r="B709" s="27">
        <v>2200</v>
      </c>
      <c r="C709" s="28" t="s">
        <v>45</v>
      </c>
      <c r="D709" s="370">
        <f>SUM(D710:D716)+D723</f>
        <v>0</v>
      </c>
      <c r="E709" s="370">
        <f>SUM(E710:E716)+E723</f>
        <v>0</v>
      </c>
      <c r="F709" s="33">
        <f>SUM(F710:F716)+F723</f>
        <v>0</v>
      </c>
      <c r="G709" s="33">
        <f>SUM(G710:G716)+G723</f>
        <v>0</v>
      </c>
      <c r="H709" s="402"/>
      <c r="I709" s="402"/>
    </row>
    <row r="710" spans="1:9" ht="12.75" customHeight="1" hidden="1">
      <c r="A710" s="6"/>
      <c r="B710" s="29">
        <v>2210</v>
      </c>
      <c r="C710" s="30" t="s">
        <v>46</v>
      </c>
      <c r="D710" s="372"/>
      <c r="E710" s="372"/>
      <c r="F710" s="34"/>
      <c r="G710" s="34"/>
      <c r="H710" s="402"/>
      <c r="I710" s="402"/>
    </row>
    <row r="711" spans="1:9" ht="12.75" customHeight="1" hidden="1">
      <c r="A711" s="6"/>
      <c r="B711" s="29">
        <v>2220</v>
      </c>
      <c r="C711" s="30" t="s">
        <v>47</v>
      </c>
      <c r="D711" s="372"/>
      <c r="E711" s="372"/>
      <c r="F711" s="34"/>
      <c r="G711" s="34"/>
      <c r="H711" s="402"/>
      <c r="I711" s="402"/>
    </row>
    <row r="712" spans="1:9" ht="12.75" customHeight="1" hidden="1">
      <c r="A712" s="6"/>
      <c r="B712" s="29">
        <v>2230</v>
      </c>
      <c r="C712" s="30" t="s">
        <v>48</v>
      </c>
      <c r="D712" s="372"/>
      <c r="E712" s="372"/>
      <c r="F712" s="34"/>
      <c r="G712" s="34"/>
      <c r="H712" s="402"/>
      <c r="I712" s="402"/>
    </row>
    <row r="713" spans="1:9" ht="12.75" customHeight="1" hidden="1">
      <c r="A713" s="6"/>
      <c r="B713" s="29">
        <v>2240</v>
      </c>
      <c r="C713" s="30" t="s">
        <v>49</v>
      </c>
      <c r="D713" s="372"/>
      <c r="E713" s="372"/>
      <c r="F713" s="34"/>
      <c r="G713" s="34"/>
      <c r="H713" s="402"/>
      <c r="I713" s="402"/>
    </row>
    <row r="714" spans="1:9" ht="12.75" customHeight="1" hidden="1">
      <c r="A714" s="6"/>
      <c r="B714" s="29">
        <v>2250</v>
      </c>
      <c r="C714" s="30" t="s">
        <v>50</v>
      </c>
      <c r="D714" s="372"/>
      <c r="E714" s="372"/>
      <c r="F714" s="34"/>
      <c r="G714" s="34"/>
      <c r="H714" s="402"/>
      <c r="I714" s="402"/>
    </row>
    <row r="715" spans="1:9" ht="12.75" customHeight="1" hidden="1">
      <c r="A715" s="6"/>
      <c r="B715" s="29">
        <v>2260</v>
      </c>
      <c r="C715" s="30" t="s">
        <v>51</v>
      </c>
      <c r="D715" s="372"/>
      <c r="E715" s="372"/>
      <c r="F715" s="34"/>
      <c r="G715" s="34"/>
      <c r="H715" s="402"/>
      <c r="I715" s="402"/>
    </row>
    <row r="716" spans="1:9" ht="12.75" customHeight="1" hidden="1">
      <c r="A716" s="6"/>
      <c r="B716" s="27">
        <v>2270</v>
      </c>
      <c r="C716" s="28" t="s">
        <v>52</v>
      </c>
      <c r="D716" s="370">
        <f>D717+D718+D719+D720+D721+D722</f>
        <v>0</v>
      </c>
      <c r="E716" s="370">
        <f>E717+E718+E719+E720+E721+E722</f>
        <v>0</v>
      </c>
      <c r="F716" s="33">
        <f>F717+F718+F719+F720+F721+F722</f>
        <v>0</v>
      </c>
      <c r="G716" s="33">
        <f>G717+G718+G719+G720+G721+G722</f>
        <v>0</v>
      </c>
      <c r="H716" s="402"/>
      <c r="I716" s="402"/>
    </row>
    <row r="717" spans="1:9" ht="12.75" customHeight="1" hidden="1">
      <c r="A717" s="6"/>
      <c r="B717" s="29">
        <v>2271</v>
      </c>
      <c r="C717" s="30" t="s">
        <v>53</v>
      </c>
      <c r="D717" s="372"/>
      <c r="E717" s="372"/>
      <c r="F717" s="34"/>
      <c r="G717" s="34"/>
      <c r="H717" s="402"/>
      <c r="I717" s="402"/>
    </row>
    <row r="718" spans="1:9" ht="12.75" customHeight="1" hidden="1">
      <c r="A718" s="6"/>
      <c r="B718" s="29">
        <v>2272</v>
      </c>
      <c r="C718" s="30" t="s">
        <v>54</v>
      </c>
      <c r="D718" s="372"/>
      <c r="E718" s="372"/>
      <c r="F718" s="34"/>
      <c r="G718" s="34"/>
      <c r="H718" s="402"/>
      <c r="I718" s="402"/>
    </row>
    <row r="719" spans="1:9" ht="12.75" customHeight="1" hidden="1">
      <c r="A719" s="6"/>
      <c r="B719" s="29">
        <v>2273</v>
      </c>
      <c r="C719" s="30" t="s">
        <v>55</v>
      </c>
      <c r="D719" s="372"/>
      <c r="E719" s="372"/>
      <c r="F719" s="34"/>
      <c r="G719" s="34"/>
      <c r="H719" s="402"/>
      <c r="I719" s="402"/>
    </row>
    <row r="720" spans="1:9" ht="12.75" customHeight="1" hidden="1">
      <c r="A720" s="6"/>
      <c r="B720" s="29">
        <v>2274</v>
      </c>
      <c r="C720" s="30" t="s">
        <v>56</v>
      </c>
      <c r="D720" s="372"/>
      <c r="E720" s="372"/>
      <c r="F720" s="34"/>
      <c r="G720" s="34"/>
      <c r="H720" s="402"/>
      <c r="I720" s="402"/>
    </row>
    <row r="721" spans="1:9" ht="12.75" customHeight="1" hidden="1">
      <c r="A721" s="6"/>
      <c r="B721" s="29">
        <v>2275</v>
      </c>
      <c r="C721" s="30" t="s">
        <v>57</v>
      </c>
      <c r="D721" s="372"/>
      <c r="E721" s="372"/>
      <c r="F721" s="34"/>
      <c r="G721" s="34"/>
      <c r="H721" s="402"/>
      <c r="I721" s="402"/>
    </row>
    <row r="722" spans="1:9" ht="12.75" customHeight="1" hidden="1">
      <c r="A722" s="6"/>
      <c r="B722" s="31">
        <v>2276</v>
      </c>
      <c r="C722" s="32" t="s">
        <v>58</v>
      </c>
      <c r="D722" s="372"/>
      <c r="E722" s="372"/>
      <c r="F722" s="34"/>
      <c r="G722" s="34"/>
      <c r="H722" s="402"/>
      <c r="I722" s="402"/>
    </row>
    <row r="723" spans="1:9" ht="12.75" customHeight="1" hidden="1">
      <c r="A723" s="6"/>
      <c r="B723" s="27">
        <v>2280</v>
      </c>
      <c r="C723" s="28" t="s">
        <v>59</v>
      </c>
      <c r="D723" s="370">
        <f>D724+D725</f>
        <v>0</v>
      </c>
      <c r="E723" s="370">
        <f>E724+E725</f>
        <v>0</v>
      </c>
      <c r="F723" s="33">
        <f>F724+F725</f>
        <v>0</v>
      </c>
      <c r="G723" s="33">
        <f>G724+G725</f>
        <v>0</v>
      </c>
      <c r="H723" s="402"/>
      <c r="I723" s="402"/>
    </row>
    <row r="724" spans="1:9" ht="12.75" customHeight="1" hidden="1">
      <c r="A724" s="6"/>
      <c r="B724" s="29">
        <v>2281</v>
      </c>
      <c r="C724" s="30" t="s">
        <v>60</v>
      </c>
      <c r="D724" s="372"/>
      <c r="E724" s="372"/>
      <c r="F724" s="34"/>
      <c r="G724" s="34"/>
      <c r="H724" s="402"/>
      <c r="I724" s="402"/>
    </row>
    <row r="725" spans="1:9" ht="12.75" customHeight="1" hidden="1">
      <c r="A725" s="6"/>
      <c r="B725" s="29">
        <v>2282</v>
      </c>
      <c r="C725" s="30" t="s">
        <v>61</v>
      </c>
      <c r="D725" s="372"/>
      <c r="E725" s="372"/>
      <c r="F725" s="34"/>
      <c r="G725" s="34"/>
      <c r="H725" s="402"/>
      <c r="I725" s="402"/>
    </row>
    <row r="726" spans="1:9" ht="12.75" customHeight="1" hidden="1">
      <c r="A726" s="6"/>
      <c r="B726" s="27">
        <v>2400</v>
      </c>
      <c r="C726" s="28" t="s">
        <v>62</v>
      </c>
      <c r="D726" s="372">
        <f>D727+D728</f>
        <v>0</v>
      </c>
      <c r="E726" s="372">
        <f>E727+E728</f>
        <v>0</v>
      </c>
      <c r="F726" s="34">
        <f>F727+F728</f>
        <v>0</v>
      </c>
      <c r="G726" s="34">
        <f>G727+G728</f>
        <v>0</v>
      </c>
      <c r="H726" s="402"/>
      <c r="I726" s="402"/>
    </row>
    <row r="727" spans="1:9" ht="12.75" customHeight="1" hidden="1">
      <c r="A727" s="6"/>
      <c r="B727" s="29">
        <v>2410</v>
      </c>
      <c r="C727" s="30" t="s">
        <v>63</v>
      </c>
      <c r="D727" s="372"/>
      <c r="E727" s="372"/>
      <c r="F727" s="34"/>
      <c r="G727" s="34"/>
      <c r="H727" s="402"/>
      <c r="I727" s="402"/>
    </row>
    <row r="728" spans="1:9" ht="12.75" customHeight="1" hidden="1">
      <c r="A728" s="6"/>
      <c r="B728" s="29">
        <v>2420</v>
      </c>
      <c r="C728" s="30" t="s">
        <v>64</v>
      </c>
      <c r="D728" s="372"/>
      <c r="E728" s="372"/>
      <c r="F728" s="34"/>
      <c r="G728" s="34"/>
      <c r="H728" s="402"/>
      <c r="I728" s="402"/>
    </row>
    <row r="729" spans="1:9" ht="12.75">
      <c r="A729" s="6"/>
      <c r="B729" s="27">
        <v>2600</v>
      </c>
      <c r="C729" s="28" t="s">
        <v>65</v>
      </c>
      <c r="D729" s="370">
        <f>D730+D731+D732</f>
        <v>0</v>
      </c>
      <c r="E729" s="370">
        <f>E730+E731+E732</f>
        <v>13500</v>
      </c>
      <c r="F729" s="33">
        <f>F730+F731+F732</f>
        <v>0</v>
      </c>
      <c r="G729" s="33">
        <f>G730+G731+G732</f>
        <v>0</v>
      </c>
      <c r="H729" s="402"/>
      <c r="I729" s="402"/>
    </row>
    <row r="730" spans="1:9" ht="12.75" customHeight="1" hidden="1">
      <c r="A730" s="6"/>
      <c r="B730" s="29">
        <v>2610</v>
      </c>
      <c r="C730" s="30" t="s">
        <v>66</v>
      </c>
      <c r="D730" s="372"/>
      <c r="E730" s="372"/>
      <c r="F730" s="34"/>
      <c r="G730" s="34"/>
      <c r="H730" s="402"/>
      <c r="I730" s="402"/>
    </row>
    <row r="731" spans="1:9" ht="12.75">
      <c r="A731" s="6"/>
      <c r="B731" s="29">
        <v>2620</v>
      </c>
      <c r="C731" s="30" t="s">
        <v>67</v>
      </c>
      <c r="D731" s="372"/>
      <c r="E731" s="372">
        <v>13500</v>
      </c>
      <c r="F731" s="34"/>
      <c r="G731" s="34"/>
      <c r="H731" s="402"/>
      <c r="I731" s="402"/>
    </row>
    <row r="732" spans="1:9" ht="12.75" customHeight="1" hidden="1">
      <c r="A732" s="6"/>
      <c r="B732" s="29">
        <v>2630</v>
      </c>
      <c r="C732" s="30" t="s">
        <v>68</v>
      </c>
      <c r="D732" s="372"/>
      <c r="E732" s="372"/>
      <c r="F732" s="34"/>
      <c r="G732" s="34"/>
      <c r="H732" s="402"/>
      <c r="I732" s="402"/>
    </row>
    <row r="733" spans="1:9" ht="12.75" customHeight="1" hidden="1">
      <c r="A733" s="6"/>
      <c r="B733" s="27">
        <v>2700</v>
      </c>
      <c r="C733" s="28" t="s">
        <v>69</v>
      </c>
      <c r="D733" s="370">
        <f>D734+D735+D736</f>
        <v>0</v>
      </c>
      <c r="E733" s="370">
        <f>E734+E735+E736</f>
        <v>0</v>
      </c>
      <c r="F733" s="33">
        <f>F734+F735+F736</f>
        <v>0</v>
      </c>
      <c r="G733" s="33">
        <f>G734+G735+G736</f>
        <v>0</v>
      </c>
      <c r="H733" s="402"/>
      <c r="I733" s="402"/>
    </row>
    <row r="734" spans="1:9" ht="12.75" customHeight="1" hidden="1">
      <c r="A734" s="6"/>
      <c r="B734" s="29">
        <v>2710</v>
      </c>
      <c r="C734" s="30" t="s">
        <v>70</v>
      </c>
      <c r="D734" s="373"/>
      <c r="E734" s="373"/>
      <c r="F734" s="42"/>
      <c r="G734" s="42"/>
      <c r="H734" s="402"/>
      <c r="I734" s="402"/>
    </row>
    <row r="735" spans="1:9" ht="12.75" customHeight="1" hidden="1">
      <c r="A735" s="6"/>
      <c r="B735" s="29">
        <v>2720</v>
      </c>
      <c r="C735" s="30" t="s">
        <v>71</v>
      </c>
      <c r="D735" s="373"/>
      <c r="E735" s="373"/>
      <c r="F735" s="34"/>
      <c r="G735" s="42"/>
      <c r="H735" s="402"/>
      <c r="I735" s="402"/>
    </row>
    <row r="736" spans="1:9" ht="12.75" customHeight="1" hidden="1">
      <c r="A736" s="6"/>
      <c r="B736" s="29">
        <v>2730</v>
      </c>
      <c r="C736" s="30" t="s">
        <v>72</v>
      </c>
      <c r="D736" s="373"/>
      <c r="E736" s="373"/>
      <c r="F736" s="34"/>
      <c r="G736" s="42"/>
      <c r="H736" s="402"/>
      <c r="I736" s="402"/>
    </row>
    <row r="737" spans="1:9" ht="12.75" customHeight="1" hidden="1">
      <c r="A737" s="6"/>
      <c r="B737" s="27">
        <v>2800</v>
      </c>
      <c r="C737" s="28" t="s">
        <v>73</v>
      </c>
      <c r="D737" s="373"/>
      <c r="E737" s="372"/>
      <c r="F737" s="34"/>
      <c r="G737" s="42"/>
      <c r="H737" s="402"/>
      <c r="I737" s="402"/>
    </row>
    <row r="738" spans="1:9" ht="12.75" customHeight="1" hidden="1">
      <c r="A738" s="21"/>
      <c r="B738" s="27">
        <v>3000</v>
      </c>
      <c r="C738" s="28" t="s">
        <v>40</v>
      </c>
      <c r="D738" s="374">
        <f>D739+D753</f>
        <v>0</v>
      </c>
      <c r="E738" s="374">
        <f>E739+E753</f>
        <v>0</v>
      </c>
      <c r="F738" s="40">
        <f>F739+F753</f>
        <v>0</v>
      </c>
      <c r="G738" s="40">
        <f>G739+G753</f>
        <v>0</v>
      </c>
      <c r="H738" s="402"/>
      <c r="I738" s="402"/>
    </row>
    <row r="739" spans="1:9" ht="12.75" customHeight="1" hidden="1">
      <c r="A739" s="21"/>
      <c r="B739" s="27">
        <v>3100</v>
      </c>
      <c r="C739" s="28" t="s">
        <v>41</v>
      </c>
      <c r="D739" s="374">
        <f>D740+D741+D744+D747+D751+D752+D753</f>
        <v>0</v>
      </c>
      <c r="E739" s="374">
        <f>E740+E741+E744+E747+E751+E752+E753</f>
        <v>0</v>
      </c>
      <c r="F739" s="40">
        <f>F740+F741+F744+F747+F751+F752+F753</f>
        <v>0</v>
      </c>
      <c r="G739" s="40">
        <f>G740+G741+G744+G747+G751+G752+G753</f>
        <v>0</v>
      </c>
      <c r="H739" s="402"/>
      <c r="I739" s="402"/>
    </row>
    <row r="740" spans="1:9" ht="12.75" customHeight="1" hidden="1">
      <c r="A740" s="21"/>
      <c r="B740" s="29">
        <v>3110</v>
      </c>
      <c r="C740" s="30" t="s">
        <v>74</v>
      </c>
      <c r="D740" s="375"/>
      <c r="E740" s="375"/>
      <c r="F740" s="41"/>
      <c r="G740" s="41"/>
      <c r="H740" s="402"/>
      <c r="I740" s="402"/>
    </row>
    <row r="741" spans="1:9" ht="12.75" customHeight="1" hidden="1">
      <c r="A741" s="21"/>
      <c r="B741" s="29">
        <v>3120</v>
      </c>
      <c r="C741" s="30" t="s">
        <v>75</v>
      </c>
      <c r="D741" s="374">
        <f>D742+D743</f>
        <v>0</v>
      </c>
      <c r="E741" s="374">
        <f>E742+E743</f>
        <v>0</v>
      </c>
      <c r="F741" s="40">
        <f>F742+F743</f>
        <v>0</v>
      </c>
      <c r="G741" s="40">
        <f>G742+G743</f>
        <v>0</v>
      </c>
      <c r="H741" s="402"/>
      <c r="I741" s="402"/>
    </row>
    <row r="742" spans="1:9" ht="12.75" customHeight="1" hidden="1">
      <c r="A742" s="21"/>
      <c r="B742" s="29">
        <v>3121</v>
      </c>
      <c r="C742" s="30" t="s">
        <v>76</v>
      </c>
      <c r="D742" s="375"/>
      <c r="E742" s="375"/>
      <c r="F742" s="41"/>
      <c r="G742" s="41"/>
      <c r="H742" s="402"/>
      <c r="I742" s="402"/>
    </row>
    <row r="743" spans="1:9" ht="12.75" customHeight="1" hidden="1">
      <c r="A743" s="21"/>
      <c r="B743" s="29">
        <v>3122</v>
      </c>
      <c r="C743" s="30" t="s">
        <v>77</v>
      </c>
      <c r="D743" s="375"/>
      <c r="E743" s="375"/>
      <c r="F743" s="41"/>
      <c r="G743" s="41"/>
      <c r="H743" s="402"/>
      <c r="I743" s="402"/>
    </row>
    <row r="744" spans="1:9" ht="12.75" customHeight="1" hidden="1">
      <c r="A744" s="21"/>
      <c r="B744" s="29">
        <v>3130</v>
      </c>
      <c r="C744" s="30" t="s">
        <v>78</v>
      </c>
      <c r="D744" s="374">
        <f>D745+D746</f>
        <v>0</v>
      </c>
      <c r="E744" s="374">
        <f>E745+E746</f>
        <v>0</v>
      </c>
      <c r="F744" s="40">
        <f>F745+F746</f>
        <v>0</v>
      </c>
      <c r="G744" s="40">
        <f>G745+G746</f>
        <v>0</v>
      </c>
      <c r="H744" s="402"/>
      <c r="I744" s="402"/>
    </row>
    <row r="745" spans="1:9" ht="12.75" customHeight="1" hidden="1">
      <c r="A745" s="21"/>
      <c r="B745" s="29">
        <v>3131</v>
      </c>
      <c r="C745" s="30" t="s">
        <v>79</v>
      </c>
      <c r="D745" s="375"/>
      <c r="E745" s="375"/>
      <c r="F745" s="41"/>
      <c r="G745" s="41"/>
      <c r="H745" s="402"/>
      <c r="I745" s="402"/>
    </row>
    <row r="746" spans="1:9" ht="12.75" customHeight="1" hidden="1">
      <c r="A746" s="21"/>
      <c r="B746" s="29">
        <v>3132</v>
      </c>
      <c r="C746" s="30" t="s">
        <v>80</v>
      </c>
      <c r="D746" s="375"/>
      <c r="E746" s="375"/>
      <c r="F746" s="41"/>
      <c r="G746" s="41"/>
      <c r="H746" s="402"/>
      <c r="I746" s="402"/>
    </row>
    <row r="747" spans="1:9" ht="12.75" customHeight="1" hidden="1">
      <c r="A747" s="21"/>
      <c r="B747" s="29">
        <v>3140</v>
      </c>
      <c r="C747" s="30" t="s">
        <v>81</v>
      </c>
      <c r="D747" s="374">
        <f>D748+D749+D750</f>
        <v>0</v>
      </c>
      <c r="E747" s="374">
        <f>E748+E749+E750</f>
        <v>0</v>
      </c>
      <c r="F747" s="40">
        <f>F748+F749+F750</f>
        <v>0</v>
      </c>
      <c r="G747" s="40">
        <f>G748+G749+G750</f>
        <v>0</v>
      </c>
      <c r="H747" s="402"/>
      <c r="I747" s="402"/>
    </row>
    <row r="748" spans="1:9" ht="12.75" customHeight="1" hidden="1">
      <c r="A748" s="21"/>
      <c r="B748" s="29">
        <v>3141</v>
      </c>
      <c r="C748" s="30" t="s">
        <v>82</v>
      </c>
      <c r="D748" s="375"/>
      <c r="E748" s="375"/>
      <c r="F748" s="41"/>
      <c r="G748" s="41"/>
      <c r="H748" s="402"/>
      <c r="I748" s="402"/>
    </row>
    <row r="749" spans="1:9" ht="12.75" customHeight="1" hidden="1">
      <c r="A749" s="21"/>
      <c r="B749" s="29">
        <v>3142</v>
      </c>
      <c r="C749" s="30" t="s">
        <v>83</v>
      </c>
      <c r="D749" s="375"/>
      <c r="E749" s="375"/>
      <c r="F749" s="41"/>
      <c r="G749" s="41"/>
      <c r="H749" s="402"/>
      <c r="I749" s="402"/>
    </row>
    <row r="750" spans="1:9" ht="12.75" customHeight="1" hidden="1">
      <c r="A750" s="21"/>
      <c r="B750" s="29">
        <v>3143</v>
      </c>
      <c r="C750" s="30" t="s">
        <v>84</v>
      </c>
      <c r="D750" s="375"/>
      <c r="E750" s="375"/>
      <c r="F750" s="41"/>
      <c r="G750" s="41"/>
      <c r="H750" s="402"/>
      <c r="I750" s="402"/>
    </row>
    <row r="751" spans="1:9" ht="12.75" customHeight="1" hidden="1">
      <c r="A751" s="21"/>
      <c r="B751" s="29">
        <v>3150</v>
      </c>
      <c r="C751" s="30" t="s">
        <v>85</v>
      </c>
      <c r="D751" s="375"/>
      <c r="E751" s="375"/>
      <c r="F751" s="41"/>
      <c r="G751" s="41"/>
      <c r="H751" s="402"/>
      <c r="I751" s="402"/>
    </row>
    <row r="752" spans="1:9" ht="12.75" customHeight="1" hidden="1">
      <c r="A752" s="21"/>
      <c r="B752" s="29">
        <v>3160</v>
      </c>
      <c r="C752" s="30" t="s">
        <v>86</v>
      </c>
      <c r="D752" s="375"/>
      <c r="E752" s="375"/>
      <c r="F752" s="41"/>
      <c r="G752" s="41"/>
      <c r="H752" s="402"/>
      <c r="I752" s="402"/>
    </row>
    <row r="753" spans="1:9" ht="12.75" customHeight="1" hidden="1">
      <c r="A753" s="21"/>
      <c r="B753" s="27">
        <v>3200</v>
      </c>
      <c r="C753" s="28" t="s">
        <v>87</v>
      </c>
      <c r="D753" s="374">
        <f>D754+D755+D756+D757</f>
        <v>0</v>
      </c>
      <c r="E753" s="374">
        <f>E754+E755+E756+E757</f>
        <v>0</v>
      </c>
      <c r="F753" s="40">
        <f>F754+F755+F756+F757</f>
        <v>0</v>
      </c>
      <c r="G753" s="40">
        <f>G754+G755+G756+G757</f>
        <v>0</v>
      </c>
      <c r="H753" s="402"/>
      <c r="I753" s="402"/>
    </row>
    <row r="754" spans="1:9" ht="12.75" customHeight="1" hidden="1">
      <c r="A754" s="21"/>
      <c r="B754" s="29">
        <v>3210</v>
      </c>
      <c r="C754" s="30" t="s">
        <v>88</v>
      </c>
      <c r="D754" s="375"/>
      <c r="E754" s="375"/>
      <c r="F754" s="41"/>
      <c r="G754" s="41"/>
      <c r="H754" s="402"/>
      <c r="I754" s="402"/>
    </row>
    <row r="755" spans="1:9" ht="12.75" customHeight="1" hidden="1">
      <c r="A755" s="21"/>
      <c r="B755" s="29">
        <v>3220</v>
      </c>
      <c r="C755" s="30" t="s">
        <v>89</v>
      </c>
      <c r="D755" s="375"/>
      <c r="E755" s="375"/>
      <c r="F755" s="41"/>
      <c r="G755" s="41"/>
      <c r="H755" s="402"/>
      <c r="I755" s="402"/>
    </row>
    <row r="756" spans="1:9" ht="12.75" customHeight="1" hidden="1">
      <c r="A756" s="21"/>
      <c r="B756" s="29">
        <v>3230</v>
      </c>
      <c r="C756" s="30" t="s">
        <v>90</v>
      </c>
      <c r="D756" s="375"/>
      <c r="E756" s="375"/>
      <c r="F756" s="41"/>
      <c r="G756" s="41"/>
      <c r="H756" s="402"/>
      <c r="I756" s="402"/>
    </row>
    <row r="757" spans="1:9" ht="12.75" customHeight="1" hidden="1">
      <c r="A757" s="21"/>
      <c r="B757" s="29">
        <v>3240</v>
      </c>
      <c r="C757" s="30" t="s">
        <v>91</v>
      </c>
      <c r="D757" s="375"/>
      <c r="E757" s="375"/>
      <c r="F757" s="41"/>
      <c r="G757" s="41"/>
      <c r="H757" s="402"/>
      <c r="I757" s="402"/>
    </row>
    <row r="758" spans="1:10" s="19" customFormat="1" ht="12.75">
      <c r="A758" s="7"/>
      <c r="B758" s="7"/>
      <c r="C758" s="20" t="s">
        <v>3</v>
      </c>
      <c r="D758" s="372">
        <f>D703+D738</f>
        <v>0</v>
      </c>
      <c r="E758" s="372">
        <f>E703+E738</f>
        <v>13500</v>
      </c>
      <c r="F758" s="34">
        <f>F703+F738</f>
        <v>0</v>
      </c>
      <c r="G758" s="34">
        <f>G703+G738</f>
        <v>0</v>
      </c>
      <c r="H758" s="402"/>
      <c r="I758" s="402"/>
      <c r="J758" s="353"/>
    </row>
    <row r="759" spans="2:10" s="37" customFormat="1" ht="13.5" customHeight="1">
      <c r="B759" s="36">
        <v>1115010</v>
      </c>
      <c r="C759" s="36" t="s">
        <v>94</v>
      </c>
      <c r="D759" s="383">
        <f>D760+D797</f>
        <v>23282.44</v>
      </c>
      <c r="E759" s="383">
        <f>E760+E797</f>
        <v>26326.9</v>
      </c>
      <c r="F759" s="43">
        <f>F760+F797</f>
        <v>28168.199999999997</v>
      </c>
      <c r="G759" s="43">
        <f>G760+G797</f>
        <v>0</v>
      </c>
      <c r="H759" s="402"/>
      <c r="I759" s="402"/>
      <c r="J759" s="350"/>
    </row>
    <row r="760" spans="2:10" s="48" customFormat="1" ht="12.75">
      <c r="B760" s="46">
        <v>1115011</v>
      </c>
      <c r="C760" s="46" t="s">
        <v>92</v>
      </c>
      <c r="D760" s="384">
        <f>D761</f>
        <v>18868.1</v>
      </c>
      <c r="E760" s="384">
        <f>E761</f>
        <v>20369.4</v>
      </c>
      <c r="F760" s="49">
        <f>F761</f>
        <v>22193.699999999997</v>
      </c>
      <c r="G760" s="49">
        <f>G761</f>
        <v>0</v>
      </c>
      <c r="H760" s="402"/>
      <c r="I760" s="402"/>
      <c r="J760" s="354"/>
    </row>
    <row r="761" spans="1:9" ht="12.75">
      <c r="A761" s="6"/>
      <c r="B761" s="27">
        <v>2000</v>
      </c>
      <c r="C761" s="28" t="s">
        <v>37</v>
      </c>
      <c r="D761" s="370">
        <f>D762+D767+D784+D787+D791+D795</f>
        <v>18868.1</v>
      </c>
      <c r="E761" s="370">
        <f>E762+E767+E784+E787+E791+E795</f>
        <v>20369.4</v>
      </c>
      <c r="F761" s="33">
        <f>F762+F767+F784+F787+F791+F795</f>
        <v>22193.699999999997</v>
      </c>
      <c r="G761" s="33">
        <f>G762+G767+G784+G787+G791+G795</f>
        <v>0</v>
      </c>
      <c r="H761" s="402"/>
      <c r="I761" s="402"/>
    </row>
    <row r="762" spans="1:9" ht="12.75" customHeight="1" hidden="1">
      <c r="A762" s="6"/>
      <c r="B762" s="29">
        <v>2100</v>
      </c>
      <c r="C762" s="30" t="s">
        <v>38</v>
      </c>
      <c r="D762" s="371">
        <f>D763+D766</f>
        <v>0</v>
      </c>
      <c r="E762" s="371">
        <f>E763+E766</f>
        <v>0</v>
      </c>
      <c r="F762" s="35">
        <f>F763+F766</f>
        <v>0</v>
      </c>
      <c r="G762" s="35">
        <f>G763+G766</f>
        <v>0</v>
      </c>
      <c r="H762" s="402"/>
      <c r="I762" s="402"/>
    </row>
    <row r="763" spans="1:9" ht="12.75" customHeight="1" hidden="1">
      <c r="A763" s="6"/>
      <c r="B763" s="29">
        <v>2110</v>
      </c>
      <c r="C763" s="30" t="s">
        <v>39</v>
      </c>
      <c r="D763" s="371">
        <f>D764+D765</f>
        <v>0</v>
      </c>
      <c r="E763" s="371">
        <f>E764+E765</f>
        <v>0</v>
      </c>
      <c r="F763" s="35">
        <f>F764+F765</f>
        <v>0</v>
      </c>
      <c r="G763" s="35">
        <f>G764+G765</f>
        <v>0</v>
      </c>
      <c r="H763" s="402"/>
      <c r="I763" s="402"/>
    </row>
    <row r="764" spans="1:9" ht="12.75" customHeight="1" hidden="1">
      <c r="A764" s="6"/>
      <c r="B764" s="29">
        <v>2111</v>
      </c>
      <c r="C764" s="30" t="s">
        <v>42</v>
      </c>
      <c r="D764" s="372"/>
      <c r="E764" s="372"/>
      <c r="F764" s="34"/>
      <c r="G764" s="34"/>
      <c r="H764" s="402"/>
      <c r="I764" s="402"/>
    </row>
    <row r="765" spans="1:9" ht="12.75" customHeight="1" hidden="1">
      <c r="A765" s="6"/>
      <c r="B765" s="29">
        <v>2112</v>
      </c>
      <c r="C765" s="30" t="s">
        <v>43</v>
      </c>
      <c r="D765" s="372"/>
      <c r="E765" s="372"/>
      <c r="F765" s="34"/>
      <c r="G765" s="34"/>
      <c r="H765" s="402"/>
      <c r="I765" s="402"/>
    </row>
    <row r="766" spans="1:9" ht="12.75" customHeight="1" hidden="1">
      <c r="A766" s="6"/>
      <c r="B766" s="29">
        <v>2120</v>
      </c>
      <c r="C766" s="30" t="s">
        <v>44</v>
      </c>
      <c r="D766" s="372"/>
      <c r="E766" s="372"/>
      <c r="F766" s="34"/>
      <c r="G766" s="34"/>
      <c r="H766" s="402"/>
      <c r="I766" s="402"/>
    </row>
    <row r="767" spans="1:9" ht="12.75">
      <c r="A767" s="6"/>
      <c r="B767" s="27">
        <v>2200</v>
      </c>
      <c r="C767" s="28" t="s">
        <v>45</v>
      </c>
      <c r="D767" s="370">
        <f>SUM(D768:D774)+D781</f>
        <v>18868.1</v>
      </c>
      <c r="E767" s="370">
        <f>SUM(E768:E774)+E781</f>
        <v>20369.4</v>
      </c>
      <c r="F767" s="33">
        <f>SUM(F768:F774)+F781</f>
        <v>22193.699999999997</v>
      </c>
      <c r="G767" s="33">
        <f>SUM(G768:G774)+G781</f>
        <v>0</v>
      </c>
      <c r="H767" s="402"/>
      <c r="I767" s="402"/>
    </row>
    <row r="768" spans="1:9" ht="12.75">
      <c r="A768" s="6"/>
      <c r="B768" s="29">
        <v>2210</v>
      </c>
      <c r="C768" s="30" t="s">
        <v>46</v>
      </c>
      <c r="D768" s="372">
        <v>309.6</v>
      </c>
      <c r="E768" s="372">
        <v>384</v>
      </c>
      <c r="F768" s="34">
        <v>425.29999999999995</v>
      </c>
      <c r="G768" s="34"/>
      <c r="H768" s="402"/>
      <c r="I768" s="402"/>
    </row>
    <row r="769" spans="1:9" ht="12.75" customHeight="1" hidden="1">
      <c r="A769" s="6"/>
      <c r="B769" s="29">
        <v>2220</v>
      </c>
      <c r="C769" s="30" t="s">
        <v>47</v>
      </c>
      <c r="D769" s="372"/>
      <c r="E769" s="372"/>
      <c r="F769" s="34">
        <v>0</v>
      </c>
      <c r="G769" s="34"/>
      <c r="H769" s="402"/>
      <c r="I769" s="402"/>
    </row>
    <row r="770" spans="1:9" ht="12.75" customHeight="1" hidden="1">
      <c r="A770" s="6"/>
      <c r="B770" s="29">
        <v>2230</v>
      </c>
      <c r="C770" s="30" t="s">
        <v>48</v>
      </c>
      <c r="D770" s="372"/>
      <c r="E770" s="372"/>
      <c r="F770" s="34">
        <v>0</v>
      </c>
      <c r="G770" s="34"/>
      <c r="H770" s="402"/>
      <c r="I770" s="402"/>
    </row>
    <row r="771" spans="1:9" ht="12.75">
      <c r="A771" s="6"/>
      <c r="B771" s="29">
        <v>2240</v>
      </c>
      <c r="C771" s="30" t="s">
        <v>49</v>
      </c>
      <c r="D771" s="372">
        <v>9738</v>
      </c>
      <c r="E771" s="372">
        <v>10671.4</v>
      </c>
      <c r="F771" s="34">
        <v>11802.4</v>
      </c>
      <c r="G771" s="34"/>
      <c r="H771" s="402"/>
      <c r="I771" s="402"/>
    </row>
    <row r="772" spans="1:9" ht="12.75">
      <c r="A772" s="6"/>
      <c r="B772" s="29">
        <v>2250</v>
      </c>
      <c r="C772" s="30" t="s">
        <v>50</v>
      </c>
      <c r="D772" s="372">
        <v>8820.5</v>
      </c>
      <c r="E772" s="372">
        <v>9314</v>
      </c>
      <c r="F772" s="34">
        <v>9966</v>
      </c>
      <c r="G772" s="34"/>
      <c r="H772" s="402"/>
      <c r="I772" s="402"/>
    </row>
    <row r="773" spans="1:9" ht="12.75" customHeight="1" hidden="1">
      <c r="A773" s="6"/>
      <c r="B773" s="29">
        <v>2260</v>
      </c>
      <c r="C773" s="30" t="s">
        <v>51</v>
      </c>
      <c r="D773" s="372"/>
      <c r="E773" s="372"/>
      <c r="F773" s="34"/>
      <c r="G773" s="34"/>
      <c r="H773" s="402"/>
      <c r="I773" s="402"/>
    </row>
    <row r="774" spans="1:9" ht="12.75" customHeight="1" hidden="1">
      <c r="A774" s="6"/>
      <c r="B774" s="27">
        <v>2270</v>
      </c>
      <c r="C774" s="28" t="s">
        <v>52</v>
      </c>
      <c r="D774" s="370">
        <f>D775+D776+D777+D778+D779+D780</f>
        <v>0</v>
      </c>
      <c r="E774" s="370">
        <f>E775+E776+E777+E778+E779+E780</f>
        <v>0</v>
      </c>
      <c r="F774" s="33">
        <f>F775+F776+F777+F778+F779+F780</f>
        <v>0</v>
      </c>
      <c r="G774" s="33">
        <f>G775+G776+G777+G778+G779+G780</f>
        <v>0</v>
      </c>
      <c r="H774" s="402"/>
      <c r="I774" s="402"/>
    </row>
    <row r="775" spans="1:9" ht="12.75" customHeight="1" hidden="1">
      <c r="A775" s="6"/>
      <c r="B775" s="29">
        <v>2271</v>
      </c>
      <c r="C775" s="30" t="s">
        <v>53</v>
      </c>
      <c r="D775" s="372"/>
      <c r="E775" s="372"/>
      <c r="F775" s="34"/>
      <c r="G775" s="34"/>
      <c r="H775" s="402"/>
      <c r="I775" s="402"/>
    </row>
    <row r="776" spans="1:9" ht="12.75" customHeight="1" hidden="1">
      <c r="A776" s="6"/>
      <c r="B776" s="29">
        <v>2272</v>
      </c>
      <c r="C776" s="30" t="s">
        <v>54</v>
      </c>
      <c r="D776" s="372"/>
      <c r="E776" s="372"/>
      <c r="F776" s="34"/>
      <c r="G776" s="34"/>
      <c r="H776" s="402"/>
      <c r="I776" s="402"/>
    </row>
    <row r="777" spans="1:9" ht="12.75" customHeight="1" hidden="1">
      <c r="A777" s="6"/>
      <c r="B777" s="29">
        <v>2273</v>
      </c>
      <c r="C777" s="30" t="s">
        <v>55</v>
      </c>
      <c r="D777" s="372"/>
      <c r="E777" s="372"/>
      <c r="F777" s="34"/>
      <c r="G777" s="34"/>
      <c r="H777" s="402"/>
      <c r="I777" s="402"/>
    </row>
    <row r="778" spans="1:9" ht="12.75" customHeight="1" hidden="1">
      <c r="A778" s="6"/>
      <c r="B778" s="29">
        <v>2274</v>
      </c>
      <c r="C778" s="30" t="s">
        <v>56</v>
      </c>
      <c r="D778" s="372"/>
      <c r="E778" s="372"/>
      <c r="F778" s="34"/>
      <c r="G778" s="34"/>
      <c r="H778" s="402"/>
      <c r="I778" s="402"/>
    </row>
    <row r="779" spans="1:9" ht="12.75" customHeight="1" hidden="1">
      <c r="A779" s="6"/>
      <c r="B779" s="29">
        <v>2275</v>
      </c>
      <c r="C779" s="30" t="s">
        <v>57</v>
      </c>
      <c r="D779" s="372"/>
      <c r="E779" s="372"/>
      <c r="F779" s="34"/>
      <c r="G779" s="34"/>
      <c r="H779" s="402"/>
      <c r="I779" s="402"/>
    </row>
    <row r="780" spans="1:9" ht="12.75" customHeight="1" hidden="1">
      <c r="A780" s="6"/>
      <c r="B780" s="31">
        <v>2276</v>
      </c>
      <c r="C780" s="32" t="s">
        <v>58</v>
      </c>
      <c r="D780" s="372"/>
      <c r="E780" s="372"/>
      <c r="F780" s="34"/>
      <c r="G780" s="34"/>
      <c r="H780" s="402"/>
      <c r="I780" s="402"/>
    </row>
    <row r="781" spans="1:9" ht="12.75" customHeight="1" hidden="1">
      <c r="A781" s="6"/>
      <c r="B781" s="27">
        <v>2280</v>
      </c>
      <c r="C781" s="28" t="s">
        <v>59</v>
      </c>
      <c r="D781" s="370">
        <f>D782+D783</f>
        <v>0</v>
      </c>
      <c r="E781" s="370">
        <f>E782+E783</f>
        <v>0</v>
      </c>
      <c r="F781" s="33">
        <f>F782+F783</f>
        <v>0</v>
      </c>
      <c r="G781" s="33">
        <f>G782+G783</f>
        <v>0</v>
      </c>
      <c r="H781" s="402"/>
      <c r="I781" s="402"/>
    </row>
    <row r="782" spans="1:9" ht="12.75" customHeight="1" hidden="1">
      <c r="A782" s="6"/>
      <c r="B782" s="29">
        <v>2281</v>
      </c>
      <c r="C782" s="30" t="s">
        <v>60</v>
      </c>
      <c r="D782" s="372"/>
      <c r="E782" s="372"/>
      <c r="F782" s="34"/>
      <c r="G782" s="34"/>
      <c r="H782" s="402"/>
      <c r="I782" s="402"/>
    </row>
    <row r="783" spans="1:9" ht="12.75" customHeight="1" hidden="1">
      <c r="A783" s="6"/>
      <c r="B783" s="29">
        <v>2282</v>
      </c>
      <c r="C783" s="30" t="s">
        <v>61</v>
      </c>
      <c r="D783" s="372"/>
      <c r="E783" s="372"/>
      <c r="F783" s="34"/>
      <c r="G783" s="34"/>
      <c r="H783" s="402"/>
      <c r="I783" s="402"/>
    </row>
    <row r="784" spans="1:9" ht="12.75" customHeight="1" hidden="1">
      <c r="A784" s="6"/>
      <c r="B784" s="27">
        <v>2400</v>
      </c>
      <c r="C784" s="28" t="s">
        <v>62</v>
      </c>
      <c r="D784" s="372">
        <f>D785+D786</f>
        <v>0</v>
      </c>
      <c r="E784" s="372">
        <f>E785+E786</f>
        <v>0</v>
      </c>
      <c r="F784" s="34">
        <f>F785+F786</f>
        <v>0</v>
      </c>
      <c r="G784" s="34">
        <f>G785+G786</f>
        <v>0</v>
      </c>
      <c r="H784" s="402"/>
      <c r="I784" s="402"/>
    </row>
    <row r="785" spans="1:9" ht="12.75" customHeight="1" hidden="1">
      <c r="A785" s="6"/>
      <c r="B785" s="29">
        <v>2410</v>
      </c>
      <c r="C785" s="30" t="s">
        <v>63</v>
      </c>
      <c r="D785" s="372"/>
      <c r="E785" s="372"/>
      <c r="F785" s="34"/>
      <c r="G785" s="34"/>
      <c r="H785" s="402"/>
      <c r="I785" s="402"/>
    </row>
    <row r="786" spans="1:9" ht="12.75" customHeight="1" hidden="1">
      <c r="A786" s="6"/>
      <c r="B786" s="29">
        <v>2420</v>
      </c>
      <c r="C786" s="30" t="s">
        <v>64</v>
      </c>
      <c r="D786" s="372"/>
      <c r="E786" s="372"/>
      <c r="F786" s="34"/>
      <c r="G786" s="34"/>
      <c r="H786" s="402"/>
      <c r="I786" s="402"/>
    </row>
    <row r="787" spans="1:9" ht="12.75" customHeight="1" hidden="1">
      <c r="A787" s="6"/>
      <c r="B787" s="27">
        <v>2600</v>
      </c>
      <c r="C787" s="28" t="s">
        <v>65</v>
      </c>
      <c r="D787" s="370">
        <f>D788+D789+D790</f>
        <v>0</v>
      </c>
      <c r="E787" s="370">
        <f>E788+E789+E790</f>
        <v>0</v>
      </c>
      <c r="F787" s="33">
        <f>F788+F789+F790</f>
        <v>0</v>
      </c>
      <c r="G787" s="33">
        <f>G788+G789+G790</f>
        <v>0</v>
      </c>
      <c r="H787" s="402"/>
      <c r="I787" s="402"/>
    </row>
    <row r="788" spans="1:9" ht="12.75" customHeight="1" hidden="1">
      <c r="A788" s="6"/>
      <c r="B788" s="29">
        <v>2610</v>
      </c>
      <c r="C788" s="30" t="s">
        <v>66</v>
      </c>
      <c r="D788" s="372"/>
      <c r="E788" s="372"/>
      <c r="F788" s="34"/>
      <c r="G788" s="34"/>
      <c r="H788" s="402"/>
      <c r="I788" s="402"/>
    </row>
    <row r="789" spans="1:9" ht="12.75" customHeight="1" hidden="1">
      <c r="A789" s="6"/>
      <c r="B789" s="29">
        <v>2620</v>
      </c>
      <c r="C789" s="30" t="s">
        <v>67</v>
      </c>
      <c r="D789" s="372"/>
      <c r="E789" s="372"/>
      <c r="F789" s="34"/>
      <c r="G789" s="34"/>
      <c r="H789" s="402"/>
      <c r="I789" s="402"/>
    </row>
    <row r="790" spans="1:9" ht="12.75" customHeight="1" hidden="1">
      <c r="A790" s="6"/>
      <c r="B790" s="29">
        <v>2630</v>
      </c>
      <c r="C790" s="30" t="s">
        <v>68</v>
      </c>
      <c r="D790" s="372"/>
      <c r="E790" s="372"/>
      <c r="F790" s="34"/>
      <c r="G790" s="34"/>
      <c r="H790" s="402"/>
      <c r="I790" s="402"/>
    </row>
    <row r="791" spans="1:9" ht="12.75" customHeight="1" hidden="1">
      <c r="A791" s="6"/>
      <c r="B791" s="27">
        <v>2700</v>
      </c>
      <c r="C791" s="28" t="s">
        <v>69</v>
      </c>
      <c r="D791" s="370">
        <f>D792+D793+D794</f>
        <v>0</v>
      </c>
      <c r="E791" s="370">
        <f>E792+E793+E794</f>
        <v>0</v>
      </c>
      <c r="F791" s="33">
        <f>F792+F793+F794</f>
        <v>0</v>
      </c>
      <c r="G791" s="33">
        <f>G792+G793+G794</f>
        <v>0</v>
      </c>
      <c r="H791" s="402"/>
      <c r="I791" s="402"/>
    </row>
    <row r="792" spans="1:9" ht="12.75" customHeight="1" hidden="1">
      <c r="A792" s="6"/>
      <c r="B792" s="29">
        <v>2710</v>
      </c>
      <c r="C792" s="30" t="s">
        <v>70</v>
      </c>
      <c r="D792" s="373"/>
      <c r="E792" s="373"/>
      <c r="F792" s="42"/>
      <c r="G792" s="42"/>
      <c r="H792" s="402"/>
      <c r="I792" s="402"/>
    </row>
    <row r="793" spans="1:9" ht="12.75" customHeight="1" hidden="1">
      <c r="A793" s="6"/>
      <c r="B793" s="29">
        <v>2720</v>
      </c>
      <c r="C793" s="30" t="s">
        <v>71</v>
      </c>
      <c r="D793" s="373"/>
      <c r="E793" s="373"/>
      <c r="F793" s="34"/>
      <c r="G793" s="42"/>
      <c r="H793" s="402"/>
      <c r="I793" s="402"/>
    </row>
    <row r="794" spans="1:9" ht="12.75" customHeight="1" hidden="1">
      <c r="A794" s="6"/>
      <c r="B794" s="29">
        <v>2730</v>
      </c>
      <c r="C794" s="30" t="s">
        <v>72</v>
      </c>
      <c r="D794" s="373"/>
      <c r="E794" s="373"/>
      <c r="F794" s="34"/>
      <c r="G794" s="42"/>
      <c r="H794" s="402"/>
      <c r="I794" s="402"/>
    </row>
    <row r="795" spans="1:9" ht="12.75" customHeight="1" hidden="1">
      <c r="A795" s="6"/>
      <c r="B795" s="27">
        <v>2800</v>
      </c>
      <c r="C795" s="28" t="s">
        <v>73</v>
      </c>
      <c r="D795" s="373"/>
      <c r="E795" s="373"/>
      <c r="F795" s="34"/>
      <c r="G795" s="42"/>
      <c r="H795" s="402"/>
      <c r="I795" s="402"/>
    </row>
    <row r="796" spans="1:10" s="19" customFormat="1" ht="12.75">
      <c r="A796" s="7"/>
      <c r="B796" s="7"/>
      <c r="C796" s="20" t="s">
        <v>3</v>
      </c>
      <c r="D796" s="372">
        <f>D761</f>
        <v>18868.1</v>
      </c>
      <c r="E796" s="372">
        <f>E761</f>
        <v>20369.4</v>
      </c>
      <c r="F796" s="34">
        <f>F761</f>
        <v>22193.699999999997</v>
      </c>
      <c r="G796" s="34">
        <f>G761</f>
        <v>0</v>
      </c>
      <c r="H796" s="402"/>
      <c r="I796" s="402"/>
      <c r="J796" s="353"/>
    </row>
    <row r="797" spans="2:10" s="48" customFormat="1" ht="12.75">
      <c r="B797" s="46">
        <v>1115012</v>
      </c>
      <c r="C797" s="46" t="s">
        <v>93</v>
      </c>
      <c r="D797" s="384">
        <f>D798</f>
        <v>4414.34</v>
      </c>
      <c r="E797" s="384">
        <f>E798</f>
        <v>5957.5</v>
      </c>
      <c r="F797" s="49">
        <f>F798</f>
        <v>5974.5</v>
      </c>
      <c r="G797" s="49">
        <f>G798</f>
        <v>0</v>
      </c>
      <c r="H797" s="402"/>
      <c r="I797" s="402"/>
      <c r="J797" s="354"/>
    </row>
    <row r="798" spans="1:9" ht="12.75">
      <c r="A798" s="6"/>
      <c r="B798" s="27">
        <v>2000</v>
      </c>
      <c r="C798" s="28" t="s">
        <v>37</v>
      </c>
      <c r="D798" s="370">
        <f>D799+D804+D821+D824+D828+D832</f>
        <v>4414.34</v>
      </c>
      <c r="E798" s="370">
        <f>E799+E804+E821+E824+E828+E832</f>
        <v>5957.5</v>
      </c>
      <c r="F798" s="33">
        <f>F799+F804+F821+F824+F828+F832</f>
        <v>5974.5</v>
      </c>
      <c r="G798" s="33">
        <f>G799+G804+G821+G824+G828+G832</f>
        <v>0</v>
      </c>
      <c r="H798" s="402"/>
      <c r="I798" s="402"/>
    </row>
    <row r="799" spans="1:9" ht="12.75" customHeight="1" hidden="1">
      <c r="A799" s="6"/>
      <c r="B799" s="29">
        <v>2100</v>
      </c>
      <c r="C799" s="30" t="s">
        <v>38</v>
      </c>
      <c r="D799" s="371">
        <f>D800+D803</f>
        <v>0</v>
      </c>
      <c r="E799" s="371">
        <f>E800+E803</f>
        <v>0</v>
      </c>
      <c r="F799" s="35">
        <f>F800+F803</f>
        <v>0</v>
      </c>
      <c r="G799" s="35">
        <f>G800+G803</f>
        <v>0</v>
      </c>
      <c r="H799" s="402"/>
      <c r="I799" s="402"/>
    </row>
    <row r="800" spans="1:9" ht="12.75" customHeight="1" hidden="1">
      <c r="A800" s="6"/>
      <c r="B800" s="29">
        <v>2110</v>
      </c>
      <c r="C800" s="30" t="s">
        <v>39</v>
      </c>
      <c r="D800" s="371">
        <f>D801+D802</f>
        <v>0</v>
      </c>
      <c r="E800" s="371">
        <f>E801+E802</f>
        <v>0</v>
      </c>
      <c r="F800" s="35">
        <f>F801+F802</f>
        <v>0</v>
      </c>
      <c r="G800" s="35">
        <f>G801+G802</f>
        <v>0</v>
      </c>
      <c r="H800" s="402"/>
      <c r="I800" s="402"/>
    </row>
    <row r="801" spans="1:9" ht="12.75" customHeight="1" hidden="1">
      <c r="A801" s="6"/>
      <c r="B801" s="29">
        <v>2111</v>
      </c>
      <c r="C801" s="30" t="s">
        <v>42</v>
      </c>
      <c r="D801" s="372"/>
      <c r="E801" s="372"/>
      <c r="F801" s="34"/>
      <c r="G801" s="34"/>
      <c r="H801" s="402"/>
      <c r="I801" s="402"/>
    </row>
    <row r="802" spans="1:9" ht="12.75" customHeight="1" hidden="1">
      <c r="A802" s="6"/>
      <c r="B802" s="29">
        <v>2112</v>
      </c>
      <c r="C802" s="30" t="s">
        <v>43</v>
      </c>
      <c r="D802" s="372"/>
      <c r="E802" s="372"/>
      <c r="F802" s="34"/>
      <c r="G802" s="34"/>
      <c r="H802" s="402"/>
      <c r="I802" s="402"/>
    </row>
    <row r="803" spans="1:9" ht="12.75" customHeight="1" hidden="1">
      <c r="A803" s="6"/>
      <c r="B803" s="29">
        <v>2120</v>
      </c>
      <c r="C803" s="30" t="s">
        <v>44</v>
      </c>
      <c r="D803" s="372"/>
      <c r="E803" s="372"/>
      <c r="F803" s="34"/>
      <c r="G803" s="34"/>
      <c r="H803" s="402"/>
      <c r="I803" s="402"/>
    </row>
    <row r="804" spans="1:9" ht="12.75">
      <c r="A804" s="6"/>
      <c r="B804" s="27">
        <v>2200</v>
      </c>
      <c r="C804" s="28" t="s">
        <v>45</v>
      </c>
      <c r="D804" s="370">
        <f>SUM(D805:D811)+D818</f>
        <v>4414.34</v>
      </c>
      <c r="E804" s="370">
        <f>SUM(E805:E811)+E818</f>
        <v>5957.5</v>
      </c>
      <c r="F804" s="33">
        <f>SUM(F805:F811)+F818</f>
        <v>5974.5</v>
      </c>
      <c r="G804" s="33">
        <f>SUM(G805:G811)+G818</f>
        <v>0</v>
      </c>
      <c r="H804" s="402"/>
      <c r="I804" s="402"/>
    </row>
    <row r="805" spans="1:9" ht="12.75">
      <c r="A805" s="6"/>
      <c r="B805" s="29">
        <v>2210</v>
      </c>
      <c r="C805" s="30" t="s">
        <v>46</v>
      </c>
      <c r="D805" s="372">
        <v>65.04</v>
      </c>
      <c r="E805" s="372">
        <v>116</v>
      </c>
      <c r="F805" s="34">
        <v>124.1</v>
      </c>
      <c r="G805" s="34"/>
      <c r="H805" s="402"/>
      <c r="I805" s="402"/>
    </row>
    <row r="806" spans="1:9" ht="12.75" customHeight="1" hidden="1">
      <c r="A806" s="6"/>
      <c r="B806" s="29">
        <v>2220</v>
      </c>
      <c r="C806" s="30" t="s">
        <v>47</v>
      </c>
      <c r="D806" s="372"/>
      <c r="E806" s="372"/>
      <c r="F806" s="34">
        <v>0</v>
      </c>
      <c r="G806" s="34"/>
      <c r="H806" s="402"/>
      <c r="I806" s="402"/>
    </row>
    <row r="807" spans="1:9" ht="12.75" customHeight="1" hidden="1">
      <c r="A807" s="6"/>
      <c r="B807" s="29">
        <v>2230</v>
      </c>
      <c r="C807" s="30" t="s">
        <v>48</v>
      </c>
      <c r="D807" s="372"/>
      <c r="E807" s="372"/>
      <c r="F807" s="34">
        <v>0</v>
      </c>
      <c r="G807" s="34"/>
      <c r="H807" s="402"/>
      <c r="I807" s="402"/>
    </row>
    <row r="808" spans="1:9" ht="12.75" customHeight="1">
      <c r="A808" s="6"/>
      <c r="B808" s="29">
        <v>2240</v>
      </c>
      <c r="C808" s="30" t="s">
        <v>49</v>
      </c>
      <c r="D808" s="372">
        <v>3504.9</v>
      </c>
      <c r="E808" s="372">
        <v>4581.3</v>
      </c>
      <c r="F808" s="34">
        <v>4802</v>
      </c>
      <c r="G808" s="34"/>
      <c r="H808" s="402"/>
      <c r="I808" s="402"/>
    </row>
    <row r="809" spans="1:9" ht="12.75">
      <c r="A809" s="6"/>
      <c r="B809" s="29">
        <v>2250</v>
      </c>
      <c r="C809" s="30" t="s">
        <v>50</v>
      </c>
      <c r="D809" s="372">
        <v>844.4</v>
      </c>
      <c r="E809" s="372">
        <v>1260.2</v>
      </c>
      <c r="F809" s="34">
        <v>1048.4</v>
      </c>
      <c r="G809" s="34"/>
      <c r="H809" s="402"/>
      <c r="I809" s="402"/>
    </row>
    <row r="810" spans="1:9" ht="12.75" customHeight="1" hidden="1">
      <c r="A810" s="6"/>
      <c r="B810" s="29">
        <v>2260</v>
      </c>
      <c r="C810" s="30" t="s">
        <v>51</v>
      </c>
      <c r="D810" s="372"/>
      <c r="E810" s="372"/>
      <c r="F810" s="34"/>
      <c r="G810" s="34"/>
      <c r="H810" s="402"/>
      <c r="I810" s="402"/>
    </row>
    <row r="811" spans="1:9" ht="12.75" customHeight="1" hidden="1">
      <c r="A811" s="6"/>
      <c r="B811" s="27">
        <v>2270</v>
      </c>
      <c r="C811" s="28" t="s">
        <v>52</v>
      </c>
      <c r="D811" s="370">
        <f>D812+D813+D814+D815+D816+D817</f>
        <v>0</v>
      </c>
      <c r="E811" s="370">
        <f>E812+E813+E814+E815+E816+E817</f>
        <v>0</v>
      </c>
      <c r="F811" s="33">
        <f>F812+F813+F814+F815+F816+F817</f>
        <v>0</v>
      </c>
      <c r="G811" s="33">
        <f>G812+G813+G814+G815+G816+G817</f>
        <v>0</v>
      </c>
      <c r="H811" s="402"/>
      <c r="I811" s="402"/>
    </row>
    <row r="812" spans="1:9" ht="12.75" customHeight="1" hidden="1">
      <c r="A812" s="6"/>
      <c r="B812" s="29">
        <v>2271</v>
      </c>
      <c r="C812" s="30" t="s">
        <v>53</v>
      </c>
      <c r="D812" s="372"/>
      <c r="E812" s="372"/>
      <c r="F812" s="34"/>
      <c r="G812" s="34"/>
      <c r="H812" s="402"/>
      <c r="I812" s="402"/>
    </row>
    <row r="813" spans="1:9" ht="12.75" customHeight="1" hidden="1">
      <c r="A813" s="6"/>
      <c r="B813" s="29">
        <v>2272</v>
      </c>
      <c r="C813" s="30" t="s">
        <v>54</v>
      </c>
      <c r="D813" s="372"/>
      <c r="E813" s="372"/>
      <c r="F813" s="34"/>
      <c r="G813" s="34"/>
      <c r="H813" s="402"/>
      <c r="I813" s="402"/>
    </row>
    <row r="814" spans="1:9" ht="12.75" customHeight="1" hidden="1">
      <c r="A814" s="6"/>
      <c r="B814" s="29">
        <v>2273</v>
      </c>
      <c r="C814" s="30" t="s">
        <v>55</v>
      </c>
      <c r="D814" s="372"/>
      <c r="E814" s="372"/>
      <c r="F814" s="34"/>
      <c r="G814" s="34"/>
      <c r="H814" s="402"/>
      <c r="I814" s="402"/>
    </row>
    <row r="815" spans="1:9" ht="12.75" customHeight="1" hidden="1">
      <c r="A815" s="6"/>
      <c r="B815" s="29">
        <v>2274</v>
      </c>
      <c r="C815" s="30" t="s">
        <v>56</v>
      </c>
      <c r="D815" s="372"/>
      <c r="E815" s="372"/>
      <c r="F815" s="34"/>
      <c r="G815" s="34"/>
      <c r="H815" s="402"/>
      <c r="I815" s="402"/>
    </row>
    <row r="816" spans="1:9" ht="12.75" customHeight="1" hidden="1">
      <c r="A816" s="6"/>
      <c r="B816" s="29">
        <v>2275</v>
      </c>
      <c r="C816" s="30" t="s">
        <v>57</v>
      </c>
      <c r="D816" s="372"/>
      <c r="E816" s="372"/>
      <c r="F816" s="34"/>
      <c r="G816" s="34"/>
      <c r="H816" s="402"/>
      <c r="I816" s="402"/>
    </row>
    <row r="817" spans="1:9" ht="12.75" customHeight="1" hidden="1">
      <c r="A817" s="6"/>
      <c r="B817" s="31">
        <v>2276</v>
      </c>
      <c r="C817" s="32" t="s">
        <v>58</v>
      </c>
      <c r="D817" s="372"/>
      <c r="E817" s="372"/>
      <c r="F817" s="34"/>
      <c r="G817" s="34"/>
      <c r="H817" s="402"/>
      <c r="I817" s="402"/>
    </row>
    <row r="818" spans="1:9" ht="12.75" customHeight="1" hidden="1">
      <c r="A818" s="6"/>
      <c r="B818" s="27">
        <v>2280</v>
      </c>
      <c r="C818" s="28" t="s">
        <v>59</v>
      </c>
      <c r="D818" s="370">
        <f>D819+D820</f>
        <v>0</v>
      </c>
      <c r="E818" s="370">
        <f>E819+E820</f>
        <v>0</v>
      </c>
      <c r="F818" s="33">
        <f>F819+F820</f>
        <v>0</v>
      </c>
      <c r="G818" s="33">
        <f>G819+G820</f>
        <v>0</v>
      </c>
      <c r="H818" s="402"/>
      <c r="I818" s="402"/>
    </row>
    <row r="819" spans="1:9" ht="12.75" customHeight="1" hidden="1">
      <c r="A819" s="6"/>
      <c r="B819" s="29">
        <v>2281</v>
      </c>
      <c r="C819" s="30" t="s">
        <v>60</v>
      </c>
      <c r="D819" s="372"/>
      <c r="E819" s="372"/>
      <c r="F819" s="34"/>
      <c r="G819" s="34"/>
      <c r="H819" s="402"/>
      <c r="I819" s="402"/>
    </row>
    <row r="820" spans="1:9" ht="12.75" customHeight="1" hidden="1">
      <c r="A820" s="6"/>
      <c r="B820" s="29">
        <v>2282</v>
      </c>
      <c r="C820" s="30" t="s">
        <v>61</v>
      </c>
      <c r="D820" s="372"/>
      <c r="E820" s="372"/>
      <c r="F820" s="34"/>
      <c r="G820" s="34"/>
      <c r="H820" s="402"/>
      <c r="I820" s="402"/>
    </row>
    <row r="821" spans="1:9" ht="12.75" customHeight="1" hidden="1">
      <c r="A821" s="6"/>
      <c r="B821" s="27">
        <v>2400</v>
      </c>
      <c r="C821" s="28" t="s">
        <v>62</v>
      </c>
      <c r="D821" s="372">
        <f>D822+D823</f>
        <v>0</v>
      </c>
      <c r="E821" s="372">
        <f>E822+E823</f>
        <v>0</v>
      </c>
      <c r="F821" s="34">
        <f>F822+F823</f>
        <v>0</v>
      </c>
      <c r="G821" s="34">
        <f>G822+G823</f>
        <v>0</v>
      </c>
      <c r="H821" s="402"/>
      <c r="I821" s="402"/>
    </row>
    <row r="822" spans="1:9" ht="12.75" customHeight="1" hidden="1">
      <c r="A822" s="6"/>
      <c r="B822" s="29">
        <v>2410</v>
      </c>
      <c r="C822" s="30" t="s">
        <v>63</v>
      </c>
      <c r="D822" s="372"/>
      <c r="E822" s="372"/>
      <c r="F822" s="34"/>
      <c r="G822" s="34"/>
      <c r="H822" s="402"/>
      <c r="I822" s="402"/>
    </row>
    <row r="823" spans="1:9" ht="12.75" customHeight="1" hidden="1">
      <c r="A823" s="6"/>
      <c r="B823" s="29">
        <v>2420</v>
      </c>
      <c r="C823" s="30" t="s">
        <v>64</v>
      </c>
      <c r="D823" s="372"/>
      <c r="E823" s="372"/>
      <c r="F823" s="34"/>
      <c r="G823" s="34"/>
      <c r="H823" s="402"/>
      <c r="I823" s="402"/>
    </row>
    <row r="824" spans="1:9" ht="12.75" customHeight="1" hidden="1">
      <c r="A824" s="6"/>
      <c r="B824" s="27">
        <v>2600</v>
      </c>
      <c r="C824" s="28" t="s">
        <v>65</v>
      </c>
      <c r="D824" s="370">
        <f>D825+D826+D827</f>
        <v>0</v>
      </c>
      <c r="E824" s="370">
        <f>E825+E826+E827</f>
        <v>0</v>
      </c>
      <c r="F824" s="33">
        <f>F825+F826+F827</f>
        <v>0</v>
      </c>
      <c r="G824" s="33">
        <f>G825+G826+G827</f>
        <v>0</v>
      </c>
      <c r="H824" s="402"/>
      <c r="I824" s="402"/>
    </row>
    <row r="825" spans="1:9" ht="12.75" customHeight="1" hidden="1">
      <c r="A825" s="6"/>
      <c r="B825" s="29">
        <v>2610</v>
      </c>
      <c r="C825" s="30" t="s">
        <v>66</v>
      </c>
      <c r="D825" s="372"/>
      <c r="E825" s="372"/>
      <c r="F825" s="34"/>
      <c r="G825" s="34"/>
      <c r="H825" s="402"/>
      <c r="I825" s="402"/>
    </row>
    <row r="826" spans="1:9" ht="12.75" customHeight="1" hidden="1">
      <c r="A826" s="6"/>
      <c r="B826" s="29">
        <v>2620</v>
      </c>
      <c r="C826" s="30" t="s">
        <v>67</v>
      </c>
      <c r="D826" s="372"/>
      <c r="E826" s="372"/>
      <c r="F826" s="34"/>
      <c r="G826" s="34"/>
      <c r="H826" s="402"/>
      <c r="I826" s="402"/>
    </row>
    <row r="827" spans="1:9" ht="12.75" customHeight="1" hidden="1">
      <c r="A827" s="6"/>
      <c r="B827" s="29">
        <v>2630</v>
      </c>
      <c r="C827" s="30" t="s">
        <v>68</v>
      </c>
      <c r="D827" s="372"/>
      <c r="E827" s="372"/>
      <c r="F827" s="34"/>
      <c r="G827" s="34"/>
      <c r="H827" s="402"/>
      <c r="I827" s="402"/>
    </row>
    <row r="828" spans="1:9" ht="12.75" customHeight="1" hidden="1">
      <c r="A828" s="6"/>
      <c r="B828" s="27">
        <v>2700</v>
      </c>
      <c r="C828" s="28" t="s">
        <v>69</v>
      </c>
      <c r="D828" s="370">
        <f>D829+D830+D831</f>
        <v>0</v>
      </c>
      <c r="E828" s="370">
        <f>E829+E830+E831</f>
        <v>0</v>
      </c>
      <c r="F828" s="33">
        <f>F829+F830+F831</f>
        <v>0</v>
      </c>
      <c r="G828" s="33">
        <f>G829+G830+G831</f>
        <v>0</v>
      </c>
      <c r="H828" s="402"/>
      <c r="I828" s="402"/>
    </row>
    <row r="829" spans="1:9" ht="12.75" customHeight="1" hidden="1">
      <c r="A829" s="6"/>
      <c r="B829" s="29">
        <v>2710</v>
      </c>
      <c r="C829" s="30" t="s">
        <v>70</v>
      </c>
      <c r="D829" s="373"/>
      <c r="E829" s="373"/>
      <c r="F829" s="42"/>
      <c r="G829" s="42"/>
      <c r="H829" s="402"/>
      <c r="I829" s="402"/>
    </row>
    <row r="830" spans="1:9" ht="12.75" customHeight="1" hidden="1">
      <c r="A830" s="6"/>
      <c r="B830" s="29">
        <v>2720</v>
      </c>
      <c r="C830" s="30" t="s">
        <v>71</v>
      </c>
      <c r="D830" s="373"/>
      <c r="E830" s="373"/>
      <c r="F830" s="34"/>
      <c r="G830" s="42"/>
      <c r="H830" s="402"/>
      <c r="I830" s="402"/>
    </row>
    <row r="831" spans="1:9" ht="12.75" customHeight="1" hidden="1">
      <c r="A831" s="6"/>
      <c r="B831" s="29">
        <v>2730</v>
      </c>
      <c r="C831" s="30" t="s">
        <v>72</v>
      </c>
      <c r="D831" s="373"/>
      <c r="E831" s="373"/>
      <c r="F831" s="34"/>
      <c r="G831" s="42"/>
      <c r="H831" s="402"/>
      <c r="I831" s="402"/>
    </row>
    <row r="832" spans="1:9" ht="12.75" customHeight="1" hidden="1">
      <c r="A832" s="6"/>
      <c r="B832" s="27">
        <v>2800</v>
      </c>
      <c r="C832" s="28" t="s">
        <v>73</v>
      </c>
      <c r="D832" s="373"/>
      <c r="E832" s="373"/>
      <c r="F832" s="34"/>
      <c r="G832" s="42"/>
      <c r="H832" s="402"/>
      <c r="I832" s="402"/>
    </row>
    <row r="833" spans="1:10" s="19" customFormat="1" ht="12.75">
      <c r="A833" s="7"/>
      <c r="B833" s="7"/>
      <c r="C833" s="20" t="s">
        <v>3</v>
      </c>
      <c r="D833" s="372">
        <f>D798</f>
        <v>4414.34</v>
      </c>
      <c r="E833" s="372">
        <f>E798</f>
        <v>5957.5</v>
      </c>
      <c r="F833" s="34">
        <f>F798</f>
        <v>5974.5</v>
      </c>
      <c r="G833" s="34">
        <f>G798</f>
        <v>0</v>
      </c>
      <c r="H833" s="402"/>
      <c r="I833" s="402"/>
      <c r="J833" s="353"/>
    </row>
    <row r="834" spans="2:10" s="37" customFormat="1" ht="26.25">
      <c r="B834" s="36">
        <v>1115020</v>
      </c>
      <c r="C834" s="36" t="s">
        <v>243</v>
      </c>
      <c r="D834" s="383">
        <f>D835+D892+D871</f>
        <v>4809.8</v>
      </c>
      <c r="E834" s="383">
        <f>E835+E892+E871</f>
        <v>5777.3</v>
      </c>
      <c r="F834" s="43">
        <f>F835+F892+F871</f>
        <v>6235</v>
      </c>
      <c r="G834" s="43">
        <f>G835+G892+G871</f>
        <v>901.4</v>
      </c>
      <c r="H834" s="402"/>
      <c r="I834" s="402"/>
      <c r="J834" s="350"/>
    </row>
    <row r="835" spans="2:10" s="48" customFormat="1" ht="26.25">
      <c r="B835" s="46">
        <v>1115021</v>
      </c>
      <c r="C835" s="46" t="s">
        <v>244</v>
      </c>
      <c r="D835" s="381">
        <f>D836</f>
        <v>4166.43</v>
      </c>
      <c r="E835" s="381">
        <f>E836</f>
        <v>4789.3</v>
      </c>
      <c r="F835" s="50">
        <f>F836</f>
        <v>5154.3</v>
      </c>
      <c r="G835" s="50">
        <f>G836</f>
        <v>781.4</v>
      </c>
      <c r="H835" s="402"/>
      <c r="I835" s="402"/>
      <c r="J835" s="354"/>
    </row>
    <row r="836" spans="1:9" ht="12.75">
      <c r="A836" s="6"/>
      <c r="B836" s="27">
        <v>2000</v>
      </c>
      <c r="C836" s="28" t="s">
        <v>37</v>
      </c>
      <c r="D836" s="370">
        <f>D837+D842+D859+D862+D866+D870</f>
        <v>4166.43</v>
      </c>
      <c r="E836" s="370">
        <f>E837+E842+E859+E862+E866+E870</f>
        <v>4789.3</v>
      </c>
      <c r="F836" s="33">
        <f>F837+F842+F859+F862+F866+F870</f>
        <v>5154.3</v>
      </c>
      <c r="G836" s="33">
        <f>G837+G842+G859+G862+G866+G870</f>
        <v>781.4</v>
      </c>
      <c r="H836" s="402"/>
      <c r="I836" s="402"/>
    </row>
    <row r="837" spans="1:9" ht="12.75" customHeight="1">
      <c r="A837" s="6"/>
      <c r="B837" s="29">
        <v>2100</v>
      </c>
      <c r="C837" s="30" t="s">
        <v>38</v>
      </c>
      <c r="D837" s="371">
        <f>D838+D841</f>
        <v>3673.44</v>
      </c>
      <c r="E837" s="371">
        <f>E838+E841</f>
        <v>4264.8</v>
      </c>
      <c r="F837" s="35">
        <f>F838+F841</f>
        <v>4683.7</v>
      </c>
      <c r="G837" s="35">
        <f>G838+G841</f>
        <v>672.6</v>
      </c>
      <c r="H837" s="409" t="s">
        <v>608</v>
      </c>
      <c r="I837" s="410"/>
    </row>
    <row r="838" spans="1:9" ht="12.75">
      <c r="A838" s="6"/>
      <c r="B838" s="29">
        <v>2110</v>
      </c>
      <c r="C838" s="30" t="s">
        <v>39</v>
      </c>
      <c r="D838" s="371">
        <f>D839+D840</f>
        <v>3045.5</v>
      </c>
      <c r="E838" s="371">
        <f>E839+E840</f>
        <v>3519.1</v>
      </c>
      <c r="F838" s="35">
        <f>F839+F840</f>
        <v>3867.7</v>
      </c>
      <c r="G838" s="35">
        <f>G839+G840</f>
        <v>559.9</v>
      </c>
      <c r="H838" s="411"/>
      <c r="I838" s="412"/>
    </row>
    <row r="839" spans="1:9" ht="12.75">
      <c r="A839" s="6"/>
      <c r="B839" s="29">
        <v>2111</v>
      </c>
      <c r="C839" s="30" t="s">
        <v>42</v>
      </c>
      <c r="D839" s="372">
        <v>3045.5</v>
      </c>
      <c r="E839" s="372">
        <v>3519.1</v>
      </c>
      <c r="F839" s="34">
        <v>3867.7</v>
      </c>
      <c r="G839" s="34">
        <v>559.9</v>
      </c>
      <c r="H839" s="411"/>
      <c r="I839" s="412"/>
    </row>
    <row r="840" spans="1:9" ht="12.75" customHeight="1" hidden="1">
      <c r="A840" s="6"/>
      <c r="B840" s="29">
        <v>2112</v>
      </c>
      <c r="C840" s="30" t="s">
        <v>43</v>
      </c>
      <c r="D840" s="372"/>
      <c r="E840" s="372"/>
      <c r="F840" s="34"/>
      <c r="G840" s="34"/>
      <c r="H840" s="411"/>
      <c r="I840" s="412"/>
    </row>
    <row r="841" spans="1:11" ht="12.75">
      <c r="A841" s="6"/>
      <c r="B841" s="29">
        <v>2120</v>
      </c>
      <c r="C841" s="30" t="s">
        <v>44</v>
      </c>
      <c r="D841" s="372">
        <v>627.94</v>
      </c>
      <c r="E841" s="372">
        <v>745.7</v>
      </c>
      <c r="F841" s="34">
        <v>816</v>
      </c>
      <c r="G841" s="34">
        <v>112.7</v>
      </c>
      <c r="H841" s="413"/>
      <c r="I841" s="414"/>
      <c r="J841" s="356">
        <v>607.1</v>
      </c>
      <c r="K841" s="339">
        <v>200.8</v>
      </c>
    </row>
    <row r="842" spans="1:11" ht="12.75">
      <c r="A842" s="6"/>
      <c r="B842" s="27">
        <v>2200</v>
      </c>
      <c r="C842" s="28" t="s">
        <v>45</v>
      </c>
      <c r="D842" s="370">
        <f>SUM(D843:D849)+D856</f>
        <v>492.99</v>
      </c>
      <c r="E842" s="370">
        <f>SUM(E843:E849)+E856</f>
        <v>524.5</v>
      </c>
      <c r="F842" s="33">
        <f>SUM(F843:F849)+F856</f>
        <v>470.59999999999997</v>
      </c>
      <c r="G842" s="33">
        <f>SUM(G843:G849)+G856</f>
        <v>108.8</v>
      </c>
      <c r="H842" s="402"/>
      <c r="I842" s="402"/>
      <c r="J842" s="357">
        <v>133.6</v>
      </c>
      <c r="K842" s="340">
        <v>44.2</v>
      </c>
    </row>
    <row r="843" spans="1:9" ht="24" customHeight="1">
      <c r="A843" s="6"/>
      <c r="B843" s="29">
        <v>2210</v>
      </c>
      <c r="C843" s="30" t="s">
        <v>46</v>
      </c>
      <c r="D843" s="372">
        <v>370.7</v>
      </c>
      <c r="E843" s="372">
        <v>336.6</v>
      </c>
      <c r="F843" s="34">
        <v>249.2</v>
      </c>
      <c r="G843" s="34">
        <v>108.8</v>
      </c>
      <c r="H843" s="402" t="s">
        <v>595</v>
      </c>
      <c r="I843" s="402"/>
    </row>
    <row r="844" spans="1:9" ht="12.75" customHeight="1" hidden="1">
      <c r="A844" s="6"/>
      <c r="B844" s="29">
        <v>2220</v>
      </c>
      <c r="C844" s="30" t="s">
        <v>47</v>
      </c>
      <c r="D844" s="372"/>
      <c r="E844" s="372"/>
      <c r="F844" s="34">
        <v>0</v>
      </c>
      <c r="G844" s="34"/>
      <c r="H844" s="402"/>
      <c r="I844" s="402"/>
    </row>
    <row r="845" spans="1:9" ht="12.75" customHeight="1" hidden="1">
      <c r="A845" s="6"/>
      <c r="B845" s="29">
        <v>2230</v>
      </c>
      <c r="C845" s="30" t="s">
        <v>48</v>
      </c>
      <c r="D845" s="372"/>
      <c r="E845" s="372"/>
      <c r="F845" s="34">
        <v>0</v>
      </c>
      <c r="G845" s="34"/>
      <c r="H845" s="402"/>
      <c r="I845" s="402"/>
    </row>
    <row r="846" spans="1:9" ht="12.75">
      <c r="A846" s="6"/>
      <c r="B846" s="29">
        <v>2240</v>
      </c>
      <c r="C846" s="30" t="s">
        <v>49</v>
      </c>
      <c r="D846" s="372">
        <v>40.94</v>
      </c>
      <c r="E846" s="372">
        <v>54.4</v>
      </c>
      <c r="F846" s="34">
        <v>60.3</v>
      </c>
      <c r="G846" s="34"/>
      <c r="H846" s="402"/>
      <c r="I846" s="402"/>
    </row>
    <row r="847" spans="1:9" ht="12.75">
      <c r="A847" s="6"/>
      <c r="B847" s="29">
        <v>2250</v>
      </c>
      <c r="C847" s="30" t="s">
        <v>50</v>
      </c>
      <c r="D847" s="372">
        <v>20.7</v>
      </c>
      <c r="E847" s="372">
        <v>25.4</v>
      </c>
      <c r="F847" s="34">
        <v>39.4</v>
      </c>
      <c r="G847" s="34"/>
      <c r="H847" s="402"/>
      <c r="I847" s="402"/>
    </row>
    <row r="848" spans="1:9" ht="12.75" customHeight="1" hidden="1">
      <c r="A848" s="6"/>
      <c r="B848" s="29">
        <v>2260</v>
      </c>
      <c r="C848" s="30" t="s">
        <v>51</v>
      </c>
      <c r="D848" s="372"/>
      <c r="E848" s="372"/>
      <c r="F848" s="34"/>
      <c r="G848" s="34"/>
      <c r="H848" s="402"/>
      <c r="I848" s="402"/>
    </row>
    <row r="849" spans="1:9" ht="12.75">
      <c r="A849" s="6"/>
      <c r="B849" s="27">
        <v>2270</v>
      </c>
      <c r="C849" s="28" t="s">
        <v>52</v>
      </c>
      <c r="D849" s="370">
        <f>D850+D851+D852+D853+D854+D855</f>
        <v>58.900000000000006</v>
      </c>
      <c r="E849" s="370">
        <f>E850+E851+E852+E853+E854+E855</f>
        <v>92.1</v>
      </c>
      <c r="F849" s="33">
        <f>F850+F851+F852+F853+F854+F855</f>
        <v>100.4</v>
      </c>
      <c r="G849" s="33">
        <f>G850+G851+G852+G853+G854+G855</f>
        <v>0</v>
      </c>
      <c r="H849" s="402"/>
      <c r="I849" s="402"/>
    </row>
    <row r="850" spans="1:9" ht="12.75" customHeight="1" hidden="1">
      <c r="A850" s="6"/>
      <c r="B850" s="29">
        <v>2271</v>
      </c>
      <c r="C850" s="30" t="s">
        <v>53</v>
      </c>
      <c r="D850" s="372"/>
      <c r="E850" s="372"/>
      <c r="F850" s="34"/>
      <c r="G850" s="34"/>
      <c r="H850" s="402"/>
      <c r="I850" s="402"/>
    </row>
    <row r="851" spans="1:9" ht="12.75">
      <c r="A851" s="6"/>
      <c r="B851" s="29">
        <v>2272</v>
      </c>
      <c r="C851" s="30" t="s">
        <v>54</v>
      </c>
      <c r="D851" s="372">
        <v>2.86</v>
      </c>
      <c r="E851" s="372">
        <v>6.3</v>
      </c>
      <c r="F851" s="34">
        <v>6.6</v>
      </c>
      <c r="G851" s="34"/>
      <c r="H851" s="402"/>
      <c r="I851" s="402"/>
    </row>
    <row r="852" spans="1:9" ht="12.75">
      <c r="A852" s="6"/>
      <c r="B852" s="29">
        <v>2273</v>
      </c>
      <c r="C852" s="30" t="s">
        <v>55</v>
      </c>
      <c r="D852" s="372">
        <v>21.66</v>
      </c>
      <c r="E852" s="372">
        <v>30.8</v>
      </c>
      <c r="F852" s="34">
        <v>32.8</v>
      </c>
      <c r="G852" s="34"/>
      <c r="H852" s="402"/>
      <c r="I852" s="402"/>
    </row>
    <row r="853" spans="1:9" ht="12.75">
      <c r="A853" s="6"/>
      <c r="B853" s="29">
        <v>2274</v>
      </c>
      <c r="C853" s="30" t="s">
        <v>56</v>
      </c>
      <c r="D853" s="372">
        <v>34.38</v>
      </c>
      <c r="E853" s="372">
        <v>55</v>
      </c>
      <c r="F853" s="34">
        <v>61</v>
      </c>
      <c r="G853" s="34"/>
      <c r="H853" s="402"/>
      <c r="I853" s="402"/>
    </row>
    <row r="854" spans="1:9" ht="12.75" customHeight="1" hidden="1">
      <c r="A854" s="6"/>
      <c r="B854" s="29">
        <v>2275</v>
      </c>
      <c r="C854" s="30" t="s">
        <v>57</v>
      </c>
      <c r="D854" s="372"/>
      <c r="E854" s="372"/>
      <c r="F854" s="34"/>
      <c r="G854" s="34"/>
      <c r="H854" s="402"/>
      <c r="I854" s="402"/>
    </row>
    <row r="855" spans="1:9" ht="12.75" customHeight="1" hidden="1">
      <c r="A855" s="6"/>
      <c r="B855" s="31">
        <v>2276</v>
      </c>
      <c r="C855" s="32" t="s">
        <v>58</v>
      </c>
      <c r="D855" s="372"/>
      <c r="E855" s="372"/>
      <c r="F855" s="34"/>
      <c r="G855" s="34"/>
      <c r="H855" s="402"/>
      <c r="I855" s="402"/>
    </row>
    <row r="856" spans="1:9" ht="12.75">
      <c r="A856" s="6"/>
      <c r="B856" s="27">
        <v>2280</v>
      </c>
      <c r="C856" s="28" t="s">
        <v>59</v>
      </c>
      <c r="D856" s="370">
        <f>D857+D858</f>
        <v>1.75</v>
      </c>
      <c r="E856" s="370">
        <f>E857+E858</f>
        <v>16</v>
      </c>
      <c r="F856" s="33">
        <f>F857+F858</f>
        <v>21.3</v>
      </c>
      <c r="G856" s="33">
        <f>G857+G858</f>
        <v>0</v>
      </c>
      <c r="H856" s="402"/>
      <c r="I856" s="402"/>
    </row>
    <row r="857" spans="1:9" ht="12.75" customHeight="1" hidden="1">
      <c r="A857" s="6"/>
      <c r="B857" s="29">
        <v>2281</v>
      </c>
      <c r="C857" s="30" t="s">
        <v>60</v>
      </c>
      <c r="D857" s="372"/>
      <c r="E857" s="372"/>
      <c r="F857" s="34"/>
      <c r="G857" s="34"/>
      <c r="H857" s="402"/>
      <c r="I857" s="402"/>
    </row>
    <row r="858" spans="1:9" ht="12.75">
      <c r="A858" s="6"/>
      <c r="B858" s="29">
        <v>2282</v>
      </c>
      <c r="C858" s="30" t="s">
        <v>61</v>
      </c>
      <c r="D858" s="372">
        <v>1.75</v>
      </c>
      <c r="E858" s="372">
        <v>16</v>
      </c>
      <c r="F858" s="34">
        <v>21.3</v>
      </c>
      <c r="G858" s="34"/>
      <c r="H858" s="402"/>
      <c r="I858" s="402"/>
    </row>
    <row r="859" spans="1:9" ht="12.75" customHeight="1" hidden="1">
      <c r="A859" s="6"/>
      <c r="B859" s="27">
        <v>2400</v>
      </c>
      <c r="C859" s="28" t="s">
        <v>62</v>
      </c>
      <c r="D859" s="372">
        <f>D860+D861</f>
        <v>0</v>
      </c>
      <c r="E859" s="372">
        <f>E860+E861</f>
        <v>0</v>
      </c>
      <c r="F859" s="34">
        <f>F860+F861</f>
        <v>0</v>
      </c>
      <c r="G859" s="34">
        <f>G860+G861</f>
        <v>0</v>
      </c>
      <c r="H859" s="402"/>
      <c r="I859" s="402"/>
    </row>
    <row r="860" spans="1:9" ht="12.75" customHeight="1" hidden="1">
      <c r="A860" s="6"/>
      <c r="B860" s="29">
        <v>2410</v>
      </c>
      <c r="C860" s="30" t="s">
        <v>63</v>
      </c>
      <c r="D860" s="372"/>
      <c r="E860" s="372"/>
      <c r="F860" s="34"/>
      <c r="G860" s="34"/>
      <c r="H860" s="402"/>
      <c r="I860" s="402"/>
    </row>
    <row r="861" spans="1:9" ht="12.75" customHeight="1" hidden="1">
      <c r="A861" s="6"/>
      <c r="B861" s="29">
        <v>2420</v>
      </c>
      <c r="C861" s="30" t="s">
        <v>64</v>
      </c>
      <c r="D861" s="372"/>
      <c r="E861" s="372"/>
      <c r="F861" s="34"/>
      <c r="G861" s="34"/>
      <c r="H861" s="402"/>
      <c r="I861" s="402"/>
    </row>
    <row r="862" spans="1:9" ht="12.75" customHeight="1" hidden="1">
      <c r="A862" s="6"/>
      <c r="B862" s="27">
        <v>2600</v>
      </c>
      <c r="C862" s="28" t="s">
        <v>65</v>
      </c>
      <c r="D862" s="370">
        <f>D863+D864+D865</f>
        <v>0</v>
      </c>
      <c r="E862" s="370">
        <f>E863+E864+E865</f>
        <v>0</v>
      </c>
      <c r="F862" s="33">
        <f>F863+F864+F865</f>
        <v>0</v>
      </c>
      <c r="G862" s="33">
        <f>G863+G864+G865</f>
        <v>0</v>
      </c>
      <c r="H862" s="402"/>
      <c r="I862" s="402"/>
    </row>
    <row r="863" spans="1:9" ht="12.75" customHeight="1" hidden="1">
      <c r="A863" s="6"/>
      <c r="B863" s="29">
        <v>2610</v>
      </c>
      <c r="C863" s="30" t="s">
        <v>66</v>
      </c>
      <c r="D863" s="372"/>
      <c r="E863" s="372"/>
      <c r="F863" s="34"/>
      <c r="G863" s="34"/>
      <c r="H863" s="402"/>
      <c r="I863" s="402"/>
    </row>
    <row r="864" spans="1:9" ht="12.75" customHeight="1" hidden="1">
      <c r="A864" s="6"/>
      <c r="B864" s="29">
        <v>2620</v>
      </c>
      <c r="C864" s="30" t="s">
        <v>67</v>
      </c>
      <c r="D864" s="372"/>
      <c r="E864" s="372"/>
      <c r="F864" s="34"/>
      <c r="G864" s="34"/>
      <c r="H864" s="402"/>
      <c r="I864" s="402"/>
    </row>
    <row r="865" spans="1:9" ht="12.75" customHeight="1" hidden="1">
      <c r="A865" s="6"/>
      <c r="B865" s="29">
        <v>2630</v>
      </c>
      <c r="C865" s="30" t="s">
        <v>68</v>
      </c>
      <c r="D865" s="372"/>
      <c r="E865" s="372"/>
      <c r="F865" s="34"/>
      <c r="G865" s="34"/>
      <c r="H865" s="402"/>
      <c r="I865" s="402"/>
    </row>
    <row r="866" spans="1:9" ht="12.75" customHeight="1" hidden="1">
      <c r="A866" s="6"/>
      <c r="B866" s="27">
        <v>2700</v>
      </c>
      <c r="C866" s="28" t="s">
        <v>69</v>
      </c>
      <c r="D866" s="370">
        <f>D867+D868+D869</f>
        <v>0</v>
      </c>
      <c r="E866" s="370">
        <f>E867+E868+E869</f>
        <v>0</v>
      </c>
      <c r="F866" s="33">
        <f>F867+F868+F869</f>
        <v>0</v>
      </c>
      <c r="G866" s="33">
        <f>G867+G868+G869</f>
        <v>0</v>
      </c>
      <c r="H866" s="402"/>
      <c r="I866" s="402"/>
    </row>
    <row r="867" spans="1:9" ht="12.75" customHeight="1" hidden="1">
      <c r="A867" s="6"/>
      <c r="B867" s="29">
        <v>2710</v>
      </c>
      <c r="C867" s="30" t="s">
        <v>70</v>
      </c>
      <c r="D867" s="373"/>
      <c r="E867" s="373"/>
      <c r="F867" s="42"/>
      <c r="G867" s="42"/>
      <c r="H867" s="402"/>
      <c r="I867" s="402"/>
    </row>
    <row r="868" spans="1:9" ht="12.75" customHeight="1" hidden="1">
      <c r="A868" s="6"/>
      <c r="B868" s="29">
        <v>2720</v>
      </c>
      <c r="C868" s="30" t="s">
        <v>71</v>
      </c>
      <c r="D868" s="373"/>
      <c r="E868" s="373"/>
      <c r="F868" s="34"/>
      <c r="G868" s="42"/>
      <c r="H868" s="402"/>
      <c r="I868" s="402"/>
    </row>
    <row r="869" spans="1:9" ht="12.75" customHeight="1" hidden="1">
      <c r="A869" s="6"/>
      <c r="B869" s="29">
        <v>2730</v>
      </c>
      <c r="C869" s="30" t="s">
        <v>72</v>
      </c>
      <c r="D869" s="373"/>
      <c r="E869" s="373"/>
      <c r="F869" s="34"/>
      <c r="G869" s="42"/>
      <c r="H869" s="402"/>
      <c r="I869" s="402"/>
    </row>
    <row r="870" spans="1:9" ht="12.75" customHeight="1" hidden="1">
      <c r="A870" s="6"/>
      <c r="B870" s="27">
        <v>2800</v>
      </c>
      <c r="C870" s="28" t="s">
        <v>73</v>
      </c>
      <c r="D870" s="373"/>
      <c r="E870" s="373"/>
      <c r="F870" s="34"/>
      <c r="G870" s="42"/>
      <c r="H870" s="402"/>
      <c r="I870" s="402"/>
    </row>
    <row r="871" spans="1:9" ht="12.75">
      <c r="A871" s="21"/>
      <c r="B871" s="27">
        <v>3000</v>
      </c>
      <c r="C871" s="28" t="s">
        <v>40</v>
      </c>
      <c r="D871" s="374">
        <f>D872+D886</f>
        <v>25</v>
      </c>
      <c r="E871" s="374">
        <f>E872+E886</f>
        <v>55.5</v>
      </c>
      <c r="F871" s="40">
        <f>F872+F886</f>
        <v>0</v>
      </c>
      <c r="G871" s="40">
        <f>G872+G886</f>
        <v>20</v>
      </c>
      <c r="H871" s="403" t="s">
        <v>598</v>
      </c>
      <c r="I871" s="404"/>
    </row>
    <row r="872" spans="1:9" ht="12.75">
      <c r="A872" s="21"/>
      <c r="B872" s="27">
        <v>3100</v>
      </c>
      <c r="C872" s="28" t="s">
        <v>41</v>
      </c>
      <c r="D872" s="374">
        <f>D873+D874+D877+D880+D884+D885+D886</f>
        <v>25</v>
      </c>
      <c r="E872" s="374">
        <f>E873+E874+E877+E880+E884+E885+E886</f>
        <v>55.5</v>
      </c>
      <c r="F872" s="40">
        <f>F873+F874+F877+F880+F884+F885+F886</f>
        <v>0</v>
      </c>
      <c r="G872" s="40">
        <f>G873+G874+G877+G880+G884+G885+G886</f>
        <v>20</v>
      </c>
      <c r="H872" s="405"/>
      <c r="I872" s="406"/>
    </row>
    <row r="873" spans="1:9" ht="12.75">
      <c r="A873" s="21"/>
      <c r="B873" s="29">
        <v>3110</v>
      </c>
      <c r="C873" s="30" t="s">
        <v>74</v>
      </c>
      <c r="D873" s="373">
        <v>25</v>
      </c>
      <c r="E873" s="373">
        <v>55.5</v>
      </c>
      <c r="F873" s="41"/>
      <c r="G873" s="41">
        <v>20</v>
      </c>
      <c r="H873" s="407"/>
      <c r="I873" s="408"/>
    </row>
    <row r="874" spans="1:9" ht="12.75" customHeight="1" hidden="1">
      <c r="A874" s="21"/>
      <c r="B874" s="29">
        <v>3120</v>
      </c>
      <c r="C874" s="30" t="s">
        <v>75</v>
      </c>
      <c r="D874" s="374">
        <f>D875+D876</f>
        <v>0</v>
      </c>
      <c r="E874" s="374">
        <f>E875+E876</f>
        <v>0</v>
      </c>
      <c r="F874" s="40">
        <f>F875+F876</f>
        <v>0</v>
      </c>
      <c r="G874" s="40">
        <f>G875+G876</f>
        <v>0</v>
      </c>
      <c r="H874" s="402"/>
      <c r="I874" s="402"/>
    </row>
    <row r="875" spans="1:9" ht="12.75" customHeight="1" hidden="1">
      <c r="A875" s="21"/>
      <c r="B875" s="29">
        <v>3121</v>
      </c>
      <c r="C875" s="30" t="s">
        <v>76</v>
      </c>
      <c r="D875" s="375"/>
      <c r="E875" s="375"/>
      <c r="F875" s="41"/>
      <c r="G875" s="41"/>
      <c r="H875" s="402"/>
      <c r="I875" s="402"/>
    </row>
    <row r="876" spans="1:9" ht="12.75" customHeight="1" hidden="1">
      <c r="A876" s="21"/>
      <c r="B876" s="29">
        <v>3122</v>
      </c>
      <c r="C876" s="30" t="s">
        <v>77</v>
      </c>
      <c r="D876" s="375"/>
      <c r="E876" s="375"/>
      <c r="F876" s="41"/>
      <c r="G876" s="41"/>
      <c r="H876" s="402"/>
      <c r="I876" s="402"/>
    </row>
    <row r="877" spans="1:9" ht="12.75" customHeight="1" hidden="1">
      <c r="A877" s="21"/>
      <c r="B877" s="29">
        <v>3130</v>
      </c>
      <c r="C877" s="30" t="s">
        <v>78</v>
      </c>
      <c r="D877" s="374">
        <f>D878+D879</f>
        <v>0</v>
      </c>
      <c r="E877" s="374">
        <f>E878+E879</f>
        <v>0</v>
      </c>
      <c r="F877" s="40">
        <f>F878+F879</f>
        <v>0</v>
      </c>
      <c r="G877" s="40">
        <f>G878+G879</f>
        <v>0</v>
      </c>
      <c r="H877" s="402"/>
      <c r="I877" s="402"/>
    </row>
    <row r="878" spans="1:9" ht="12.75" customHeight="1" hidden="1">
      <c r="A878" s="21"/>
      <c r="B878" s="29">
        <v>3131</v>
      </c>
      <c r="C878" s="30" t="s">
        <v>79</v>
      </c>
      <c r="D878" s="375"/>
      <c r="E878" s="375"/>
      <c r="F878" s="41"/>
      <c r="G878" s="41"/>
      <c r="H878" s="402"/>
      <c r="I878" s="402"/>
    </row>
    <row r="879" spans="1:9" ht="12.75" customHeight="1" hidden="1">
      <c r="A879" s="21"/>
      <c r="B879" s="29">
        <v>3132</v>
      </c>
      <c r="C879" s="30" t="s">
        <v>80</v>
      </c>
      <c r="D879" s="375"/>
      <c r="E879" s="375"/>
      <c r="F879" s="41"/>
      <c r="G879" s="41"/>
      <c r="H879" s="402"/>
      <c r="I879" s="402"/>
    </row>
    <row r="880" spans="1:9" ht="12.75" customHeight="1" hidden="1">
      <c r="A880" s="21"/>
      <c r="B880" s="29">
        <v>3140</v>
      </c>
      <c r="C880" s="30" t="s">
        <v>81</v>
      </c>
      <c r="D880" s="374">
        <f>D881+D882+D883</f>
        <v>0</v>
      </c>
      <c r="E880" s="374">
        <f>E881+E882+E883</f>
        <v>0</v>
      </c>
      <c r="F880" s="40">
        <f>F881+F882+F883</f>
        <v>0</v>
      </c>
      <c r="G880" s="40">
        <f>G881+G882+G883</f>
        <v>0</v>
      </c>
      <c r="H880" s="402"/>
      <c r="I880" s="402"/>
    </row>
    <row r="881" spans="1:9" ht="12.75" customHeight="1" hidden="1">
      <c r="A881" s="21"/>
      <c r="B881" s="29">
        <v>3141</v>
      </c>
      <c r="C881" s="30" t="s">
        <v>82</v>
      </c>
      <c r="D881" s="375"/>
      <c r="E881" s="375"/>
      <c r="F881" s="41"/>
      <c r="G881" s="41"/>
      <c r="H881" s="402"/>
      <c r="I881" s="402"/>
    </row>
    <row r="882" spans="1:9" ht="12.75" customHeight="1" hidden="1">
      <c r="A882" s="21"/>
      <c r="B882" s="29">
        <v>3142</v>
      </c>
      <c r="C882" s="30" t="s">
        <v>83</v>
      </c>
      <c r="D882" s="375"/>
      <c r="E882" s="375"/>
      <c r="F882" s="41"/>
      <c r="G882" s="41"/>
      <c r="H882" s="402"/>
      <c r="I882" s="402"/>
    </row>
    <row r="883" spans="1:9" ht="12.75" customHeight="1" hidden="1">
      <c r="A883" s="21"/>
      <c r="B883" s="29">
        <v>3143</v>
      </c>
      <c r="C883" s="30" t="s">
        <v>84</v>
      </c>
      <c r="D883" s="375"/>
      <c r="E883" s="375"/>
      <c r="F883" s="41"/>
      <c r="G883" s="41"/>
      <c r="H883" s="402"/>
      <c r="I883" s="402"/>
    </row>
    <row r="884" spans="1:9" ht="12.75" customHeight="1" hidden="1">
      <c r="A884" s="21"/>
      <c r="B884" s="29">
        <v>3150</v>
      </c>
      <c r="C884" s="30" t="s">
        <v>85</v>
      </c>
      <c r="D884" s="375"/>
      <c r="E884" s="375"/>
      <c r="F884" s="41"/>
      <c r="G884" s="41"/>
      <c r="H884" s="402"/>
      <c r="I884" s="402"/>
    </row>
    <row r="885" spans="1:9" ht="12.75" customHeight="1" hidden="1">
      <c r="A885" s="21"/>
      <c r="B885" s="29">
        <v>3160</v>
      </c>
      <c r="C885" s="30" t="s">
        <v>86</v>
      </c>
      <c r="D885" s="375"/>
      <c r="E885" s="375"/>
      <c r="F885" s="41"/>
      <c r="G885" s="41"/>
      <c r="H885" s="402"/>
      <c r="I885" s="402"/>
    </row>
    <row r="886" spans="1:9" ht="12.75" customHeight="1" hidden="1">
      <c r="A886" s="21"/>
      <c r="B886" s="27">
        <v>3200</v>
      </c>
      <c r="C886" s="28" t="s">
        <v>87</v>
      </c>
      <c r="D886" s="374">
        <f>D887+D888+D889+D890</f>
        <v>0</v>
      </c>
      <c r="E886" s="374">
        <f>E887+E888+E889+E890</f>
        <v>0</v>
      </c>
      <c r="F886" s="40">
        <f>F887+F888+F889+F890</f>
        <v>0</v>
      </c>
      <c r="G886" s="40">
        <f>G887+G888+G889+G890</f>
        <v>0</v>
      </c>
      <c r="H886" s="402"/>
      <c r="I886" s="402"/>
    </row>
    <row r="887" spans="1:9" ht="12.75" customHeight="1" hidden="1">
      <c r="A887" s="21"/>
      <c r="B887" s="29">
        <v>3210</v>
      </c>
      <c r="C887" s="30" t="s">
        <v>88</v>
      </c>
      <c r="D887" s="375"/>
      <c r="E887" s="375"/>
      <c r="F887" s="41"/>
      <c r="G887" s="41"/>
      <c r="H887" s="402"/>
      <c r="I887" s="402"/>
    </row>
    <row r="888" spans="1:9" ht="12.75" customHeight="1" hidden="1">
      <c r="A888" s="21"/>
      <c r="B888" s="29">
        <v>3220</v>
      </c>
      <c r="C888" s="30" t="s">
        <v>89</v>
      </c>
      <c r="D888" s="375"/>
      <c r="E888" s="375"/>
      <c r="F888" s="41"/>
      <c r="G888" s="41"/>
      <c r="H888" s="402"/>
      <c r="I888" s="402"/>
    </row>
    <row r="889" spans="1:9" ht="12.75" customHeight="1" hidden="1">
      <c r="A889" s="21"/>
      <c r="B889" s="29">
        <v>3230</v>
      </c>
      <c r="C889" s="30" t="s">
        <v>90</v>
      </c>
      <c r="D889" s="375"/>
      <c r="E889" s="375"/>
      <c r="F889" s="41"/>
      <c r="G889" s="41"/>
      <c r="H889" s="402"/>
      <c r="I889" s="402"/>
    </row>
    <row r="890" spans="1:9" ht="12.75" customHeight="1" hidden="1">
      <c r="A890" s="21"/>
      <c r="B890" s="29">
        <v>3240</v>
      </c>
      <c r="C890" s="30" t="s">
        <v>91</v>
      </c>
      <c r="D890" s="375"/>
      <c r="E890" s="375"/>
      <c r="F890" s="41"/>
      <c r="G890" s="41"/>
      <c r="H890" s="402"/>
      <c r="I890" s="402"/>
    </row>
    <row r="891" spans="1:10" s="19" customFormat="1" ht="13.5" customHeight="1">
      <c r="A891" s="7"/>
      <c r="B891" s="7"/>
      <c r="C891" s="20" t="s">
        <v>3</v>
      </c>
      <c r="D891" s="372">
        <f>D836+D871</f>
        <v>4191.43</v>
      </c>
      <c r="E891" s="372">
        <f>E836+E871</f>
        <v>4844.8</v>
      </c>
      <c r="F891" s="34">
        <f>F836+F871</f>
        <v>5154.3</v>
      </c>
      <c r="G891" s="34">
        <f>G836+G871</f>
        <v>801.4</v>
      </c>
      <c r="H891" s="402"/>
      <c r="I891" s="402"/>
      <c r="J891" s="353"/>
    </row>
    <row r="892" spans="2:10" s="48" customFormat="1" ht="26.25" customHeight="1">
      <c r="B892" s="46">
        <v>1115022</v>
      </c>
      <c r="C892" s="46" t="s">
        <v>245</v>
      </c>
      <c r="D892" s="381">
        <f>D893</f>
        <v>618.37</v>
      </c>
      <c r="E892" s="381">
        <f>E893</f>
        <v>932.5</v>
      </c>
      <c r="F892" s="50">
        <f>F893</f>
        <v>1080.7</v>
      </c>
      <c r="G892" s="50">
        <f>G893</f>
        <v>100</v>
      </c>
      <c r="H892" s="409" t="s">
        <v>596</v>
      </c>
      <c r="I892" s="410"/>
      <c r="J892" s="354"/>
    </row>
    <row r="893" spans="1:9" ht="12.75">
      <c r="A893" s="6"/>
      <c r="B893" s="27">
        <v>2000</v>
      </c>
      <c r="C893" s="28" t="s">
        <v>37</v>
      </c>
      <c r="D893" s="370">
        <f>D894+D899+D916+D919+D923+D927</f>
        <v>618.37</v>
      </c>
      <c r="E893" s="370">
        <f>E894+E899+E916+E919+E923+E927</f>
        <v>932.5</v>
      </c>
      <c r="F893" s="33">
        <f>F894+F899+F916+F919+F923+F927</f>
        <v>1080.7</v>
      </c>
      <c r="G893" s="33">
        <f>G894+G899+G916+G919+G923+G927</f>
        <v>100</v>
      </c>
      <c r="H893" s="411"/>
      <c r="I893" s="412"/>
    </row>
    <row r="894" spans="1:9" ht="12.75" customHeight="1" hidden="1">
      <c r="A894" s="6"/>
      <c r="B894" s="29">
        <v>2100</v>
      </c>
      <c r="C894" s="30" t="s">
        <v>38</v>
      </c>
      <c r="D894" s="371">
        <f>D895+D898</f>
        <v>0</v>
      </c>
      <c r="E894" s="371">
        <f>E895+E898</f>
        <v>0</v>
      </c>
      <c r="F894" s="35">
        <f>F895+F898</f>
        <v>0</v>
      </c>
      <c r="G894" s="35">
        <f>G895+G898</f>
        <v>0</v>
      </c>
      <c r="H894" s="411"/>
      <c r="I894" s="412"/>
    </row>
    <row r="895" spans="1:9" ht="12.75" customHeight="1" hidden="1">
      <c r="A895" s="6"/>
      <c r="B895" s="29">
        <v>2110</v>
      </c>
      <c r="C895" s="30" t="s">
        <v>39</v>
      </c>
      <c r="D895" s="371">
        <f>D896+D897</f>
        <v>0</v>
      </c>
      <c r="E895" s="371">
        <f>E896+E897</f>
        <v>0</v>
      </c>
      <c r="F895" s="35">
        <f>F896+F897</f>
        <v>0</v>
      </c>
      <c r="G895" s="35">
        <f>G896+G897</f>
        <v>0</v>
      </c>
      <c r="H895" s="411"/>
      <c r="I895" s="412"/>
    </row>
    <row r="896" spans="1:9" ht="12.75" customHeight="1" hidden="1">
      <c r="A896" s="6"/>
      <c r="B896" s="29">
        <v>2111</v>
      </c>
      <c r="C896" s="30" t="s">
        <v>42</v>
      </c>
      <c r="D896" s="372"/>
      <c r="E896" s="372"/>
      <c r="F896" s="34"/>
      <c r="G896" s="34"/>
      <c r="H896" s="411"/>
      <c r="I896" s="412"/>
    </row>
    <row r="897" spans="1:9" ht="12.75" customHeight="1" hidden="1">
      <c r="A897" s="6"/>
      <c r="B897" s="29">
        <v>2112</v>
      </c>
      <c r="C897" s="30" t="s">
        <v>43</v>
      </c>
      <c r="D897" s="372"/>
      <c r="E897" s="372"/>
      <c r="F897" s="34"/>
      <c r="G897" s="34"/>
      <c r="H897" s="411"/>
      <c r="I897" s="412"/>
    </row>
    <row r="898" spans="1:9" ht="12.75" customHeight="1" hidden="1">
      <c r="A898" s="6"/>
      <c r="B898" s="29">
        <v>2120</v>
      </c>
      <c r="C898" s="30" t="s">
        <v>44</v>
      </c>
      <c r="D898" s="372"/>
      <c r="E898" s="372"/>
      <c r="F898" s="34"/>
      <c r="G898" s="34"/>
      <c r="H898" s="411"/>
      <c r="I898" s="412"/>
    </row>
    <row r="899" spans="1:9" ht="12.75">
      <c r="A899" s="6"/>
      <c r="B899" s="27">
        <v>2200</v>
      </c>
      <c r="C899" s="28" t="s">
        <v>45</v>
      </c>
      <c r="D899" s="370">
        <f>SUM(D900:D906)+D913</f>
        <v>618.37</v>
      </c>
      <c r="E899" s="370">
        <f>SUM(E900:E906)+E913</f>
        <v>932.5</v>
      </c>
      <c r="F899" s="33">
        <f>SUM(F900:F906)+F913</f>
        <v>1080.7</v>
      </c>
      <c r="G899" s="33">
        <f>SUM(G900:G906)+G913</f>
        <v>100</v>
      </c>
      <c r="H899" s="411"/>
      <c r="I899" s="412"/>
    </row>
    <row r="900" spans="1:11" ht="12.75">
      <c r="A900" s="6"/>
      <c r="B900" s="29">
        <v>2210</v>
      </c>
      <c r="C900" s="30" t="s">
        <v>46</v>
      </c>
      <c r="D900" s="372">
        <v>3.5</v>
      </c>
      <c r="E900" s="372">
        <v>7.5</v>
      </c>
      <c r="F900" s="34">
        <v>6.2</v>
      </c>
      <c r="G900" s="34"/>
      <c r="H900" s="411"/>
      <c r="I900" s="412"/>
      <c r="J900" s="34"/>
      <c r="K900" s="34">
        <f>6.2</f>
        <v>6.2</v>
      </c>
    </row>
    <row r="901" spans="1:10" ht="12.75" customHeight="1" hidden="1">
      <c r="A901" s="6"/>
      <c r="B901" s="29">
        <v>2220</v>
      </c>
      <c r="C901" s="30" t="s">
        <v>47</v>
      </c>
      <c r="D901" s="372"/>
      <c r="E901" s="372"/>
      <c r="F901" s="34">
        <v>0</v>
      </c>
      <c r="G901" s="34"/>
      <c r="H901" s="411"/>
      <c r="I901" s="412"/>
      <c r="J901" s="34"/>
    </row>
    <row r="902" spans="1:10" ht="12.75" customHeight="1" hidden="1">
      <c r="A902" s="6"/>
      <c r="B902" s="29">
        <v>2230</v>
      </c>
      <c r="C902" s="30" t="s">
        <v>48</v>
      </c>
      <c r="D902" s="372"/>
      <c r="E902" s="372"/>
      <c r="F902" s="34">
        <v>0</v>
      </c>
      <c r="G902" s="34"/>
      <c r="H902" s="411"/>
      <c r="I902" s="412"/>
      <c r="J902" s="34"/>
    </row>
    <row r="903" spans="1:11" ht="12.75">
      <c r="A903" s="6"/>
      <c r="B903" s="29">
        <v>2240</v>
      </c>
      <c r="C903" s="30" t="s">
        <v>49</v>
      </c>
      <c r="D903" s="372">
        <v>354.25</v>
      </c>
      <c r="E903" s="372">
        <v>477.4</v>
      </c>
      <c r="F903" s="34">
        <v>591.1</v>
      </c>
      <c r="G903" s="34">
        <v>66.9</v>
      </c>
      <c r="H903" s="411"/>
      <c r="I903" s="412"/>
      <c r="J903" s="34">
        <f>327.8</f>
        <v>327.8</v>
      </c>
      <c r="K903" s="364">
        <v>263.3</v>
      </c>
    </row>
    <row r="904" spans="1:11" ht="12.75">
      <c r="A904" s="6"/>
      <c r="B904" s="29">
        <v>2250</v>
      </c>
      <c r="C904" s="30" t="s">
        <v>50</v>
      </c>
      <c r="D904" s="372">
        <v>260.62</v>
      </c>
      <c r="E904" s="372">
        <v>447.6</v>
      </c>
      <c r="F904" s="34">
        <v>483.40000000000003</v>
      </c>
      <c r="G904" s="34">
        <v>33.1</v>
      </c>
      <c r="H904" s="411"/>
      <c r="I904" s="412"/>
      <c r="J904" s="34">
        <f>383.1</f>
        <v>383.1</v>
      </c>
      <c r="K904" s="364">
        <v>100.3</v>
      </c>
    </row>
    <row r="905" spans="1:9" ht="12.75" customHeight="1" hidden="1">
      <c r="A905" s="6"/>
      <c r="B905" s="29">
        <v>2260</v>
      </c>
      <c r="C905" s="30" t="s">
        <v>51</v>
      </c>
      <c r="D905" s="372"/>
      <c r="E905" s="372"/>
      <c r="F905" s="34"/>
      <c r="G905" s="34"/>
      <c r="H905" s="411"/>
      <c r="I905" s="412"/>
    </row>
    <row r="906" spans="1:9" ht="12.75" customHeight="1" hidden="1">
      <c r="A906" s="6"/>
      <c r="B906" s="27">
        <v>2270</v>
      </c>
      <c r="C906" s="28" t="s">
        <v>52</v>
      </c>
      <c r="D906" s="370">
        <f>D907+D908+D909+D910+D911+D912</f>
        <v>0</v>
      </c>
      <c r="E906" s="370">
        <f>E907+E908+E909+E910+E911+E912</f>
        <v>0</v>
      </c>
      <c r="F906" s="33">
        <f>F907+F908+F909+F910+F911+F912</f>
        <v>0</v>
      </c>
      <c r="G906" s="33">
        <f>G907+G908+G909+G910+G911+G912</f>
        <v>0</v>
      </c>
      <c r="H906" s="411"/>
      <c r="I906" s="412"/>
    </row>
    <row r="907" spans="1:9" ht="12.75" customHeight="1" hidden="1">
      <c r="A907" s="6"/>
      <c r="B907" s="29">
        <v>2271</v>
      </c>
      <c r="C907" s="30" t="s">
        <v>53</v>
      </c>
      <c r="D907" s="372"/>
      <c r="E907" s="372"/>
      <c r="F907" s="34"/>
      <c r="G907" s="34"/>
      <c r="H907" s="411"/>
      <c r="I907" s="412"/>
    </row>
    <row r="908" spans="1:9" ht="12.75" customHeight="1" hidden="1">
      <c r="A908" s="6"/>
      <c r="B908" s="29">
        <v>2272</v>
      </c>
      <c r="C908" s="30" t="s">
        <v>54</v>
      </c>
      <c r="D908" s="372"/>
      <c r="E908" s="372"/>
      <c r="F908" s="34"/>
      <c r="G908" s="34"/>
      <c r="H908" s="411"/>
      <c r="I908" s="412"/>
    </row>
    <row r="909" spans="1:9" ht="12.75" customHeight="1" hidden="1">
      <c r="A909" s="6"/>
      <c r="B909" s="29">
        <v>2273</v>
      </c>
      <c r="C909" s="30" t="s">
        <v>55</v>
      </c>
      <c r="D909" s="372"/>
      <c r="E909" s="372"/>
      <c r="F909" s="34"/>
      <c r="G909" s="34"/>
      <c r="H909" s="411"/>
      <c r="I909" s="412"/>
    </row>
    <row r="910" spans="1:9" ht="12.75" customHeight="1" hidden="1">
      <c r="A910" s="6"/>
      <c r="B910" s="29">
        <v>2274</v>
      </c>
      <c r="C910" s="30" t="s">
        <v>56</v>
      </c>
      <c r="D910" s="372"/>
      <c r="E910" s="372"/>
      <c r="F910" s="34"/>
      <c r="G910" s="34"/>
      <c r="H910" s="411"/>
      <c r="I910" s="412"/>
    </row>
    <row r="911" spans="1:9" ht="12.75" customHeight="1" hidden="1">
      <c r="A911" s="6"/>
      <c r="B911" s="29">
        <v>2275</v>
      </c>
      <c r="C911" s="30" t="s">
        <v>57</v>
      </c>
      <c r="D911" s="372"/>
      <c r="E911" s="372"/>
      <c r="F911" s="34"/>
      <c r="G911" s="34"/>
      <c r="H911" s="411"/>
      <c r="I911" s="412"/>
    </row>
    <row r="912" spans="1:9" ht="12.75" customHeight="1" hidden="1">
      <c r="A912" s="6"/>
      <c r="B912" s="31">
        <v>2276</v>
      </c>
      <c r="C912" s="32" t="s">
        <v>58</v>
      </c>
      <c r="D912" s="372"/>
      <c r="E912" s="372"/>
      <c r="F912" s="34"/>
      <c r="G912" s="34"/>
      <c r="H912" s="411"/>
      <c r="I912" s="412"/>
    </row>
    <row r="913" spans="1:9" ht="12.75" customHeight="1" hidden="1">
      <c r="A913" s="6"/>
      <c r="B913" s="27">
        <v>2280</v>
      </c>
      <c r="C913" s="28" t="s">
        <v>59</v>
      </c>
      <c r="D913" s="370">
        <f>D914+D915</f>
        <v>0</v>
      </c>
      <c r="E913" s="370">
        <f>E914+E915</f>
        <v>0</v>
      </c>
      <c r="F913" s="33">
        <f>F914+F915</f>
        <v>0</v>
      </c>
      <c r="G913" s="33">
        <f>G914+G915</f>
        <v>0</v>
      </c>
      <c r="H913" s="411"/>
      <c r="I913" s="412"/>
    </row>
    <row r="914" spans="1:9" ht="12.75" customHeight="1" hidden="1">
      <c r="A914" s="6"/>
      <c r="B914" s="29">
        <v>2281</v>
      </c>
      <c r="C914" s="30" t="s">
        <v>60</v>
      </c>
      <c r="D914" s="372"/>
      <c r="E914" s="372"/>
      <c r="F914" s="34"/>
      <c r="G914" s="34"/>
      <c r="H914" s="411"/>
      <c r="I914" s="412"/>
    </row>
    <row r="915" spans="1:9" ht="12.75" customHeight="1" hidden="1">
      <c r="A915" s="6"/>
      <c r="B915" s="29">
        <v>2282</v>
      </c>
      <c r="C915" s="30" t="s">
        <v>61</v>
      </c>
      <c r="D915" s="372"/>
      <c r="E915" s="372"/>
      <c r="F915" s="34"/>
      <c r="G915" s="34"/>
      <c r="H915" s="411"/>
      <c r="I915" s="412"/>
    </row>
    <row r="916" spans="1:9" ht="12.75" customHeight="1" hidden="1">
      <c r="A916" s="6"/>
      <c r="B916" s="27">
        <v>2400</v>
      </c>
      <c r="C916" s="28" t="s">
        <v>62</v>
      </c>
      <c r="D916" s="372">
        <f>D917+D918</f>
        <v>0</v>
      </c>
      <c r="E916" s="372">
        <f>E917+E918</f>
        <v>0</v>
      </c>
      <c r="F916" s="34">
        <f>F917+F918</f>
        <v>0</v>
      </c>
      <c r="G916" s="34">
        <f>G917+G918</f>
        <v>0</v>
      </c>
      <c r="H916" s="411"/>
      <c r="I916" s="412"/>
    </row>
    <row r="917" spans="1:9" ht="12.75" customHeight="1" hidden="1">
      <c r="A917" s="6"/>
      <c r="B917" s="29">
        <v>2410</v>
      </c>
      <c r="C917" s="30" t="s">
        <v>63</v>
      </c>
      <c r="D917" s="372"/>
      <c r="E917" s="372"/>
      <c r="F917" s="34"/>
      <c r="G917" s="34"/>
      <c r="H917" s="411"/>
      <c r="I917" s="412"/>
    </row>
    <row r="918" spans="1:9" ht="12.75" customHeight="1" hidden="1">
      <c r="A918" s="6"/>
      <c r="B918" s="29">
        <v>2420</v>
      </c>
      <c r="C918" s="30" t="s">
        <v>64</v>
      </c>
      <c r="D918" s="372"/>
      <c r="E918" s="372"/>
      <c r="F918" s="34"/>
      <c r="G918" s="34"/>
      <c r="H918" s="411"/>
      <c r="I918" s="412"/>
    </row>
    <row r="919" spans="1:9" ht="12.75" customHeight="1" hidden="1">
      <c r="A919" s="6"/>
      <c r="B919" s="27">
        <v>2600</v>
      </c>
      <c r="C919" s="28" t="s">
        <v>65</v>
      </c>
      <c r="D919" s="370">
        <f>D920+D921+D922</f>
        <v>0</v>
      </c>
      <c r="E919" s="370">
        <f>E920+E921+E922</f>
        <v>0</v>
      </c>
      <c r="F919" s="33">
        <f>F920+F921+F922</f>
        <v>0</v>
      </c>
      <c r="G919" s="33">
        <f>G920+G921+G922</f>
        <v>0</v>
      </c>
      <c r="H919" s="411"/>
      <c r="I919" s="412"/>
    </row>
    <row r="920" spans="1:9" ht="12.75" customHeight="1" hidden="1">
      <c r="A920" s="6"/>
      <c r="B920" s="29">
        <v>2610</v>
      </c>
      <c r="C920" s="30" t="s">
        <v>66</v>
      </c>
      <c r="D920" s="372"/>
      <c r="E920" s="372"/>
      <c r="F920" s="34"/>
      <c r="G920" s="34"/>
      <c r="H920" s="411"/>
      <c r="I920" s="412"/>
    </row>
    <row r="921" spans="1:9" ht="12.75" customHeight="1" hidden="1">
      <c r="A921" s="6"/>
      <c r="B921" s="29">
        <v>2620</v>
      </c>
      <c r="C921" s="30" t="s">
        <v>67</v>
      </c>
      <c r="D921" s="372"/>
      <c r="E921" s="372"/>
      <c r="F921" s="34"/>
      <c r="G921" s="34"/>
      <c r="H921" s="411"/>
      <c r="I921" s="412"/>
    </row>
    <row r="922" spans="1:9" ht="12.75" customHeight="1" hidden="1">
      <c r="A922" s="6"/>
      <c r="B922" s="29">
        <v>2630</v>
      </c>
      <c r="C922" s="30" t="s">
        <v>68</v>
      </c>
      <c r="D922" s="372"/>
      <c r="E922" s="372"/>
      <c r="F922" s="34"/>
      <c r="G922" s="34"/>
      <c r="H922" s="411"/>
      <c r="I922" s="412"/>
    </row>
    <row r="923" spans="1:9" ht="12.75" customHeight="1" hidden="1">
      <c r="A923" s="6"/>
      <c r="B923" s="27">
        <v>2700</v>
      </c>
      <c r="C923" s="28" t="s">
        <v>69</v>
      </c>
      <c r="D923" s="370">
        <f>D924+D925+D926</f>
        <v>0</v>
      </c>
      <c r="E923" s="370">
        <f>E924+E925+E926</f>
        <v>0</v>
      </c>
      <c r="F923" s="33">
        <f>F924+F925+F926</f>
        <v>0</v>
      </c>
      <c r="G923" s="33">
        <f>G924+G925+G926</f>
        <v>0</v>
      </c>
      <c r="H923" s="411"/>
      <c r="I923" s="412"/>
    </row>
    <row r="924" spans="1:9" ht="12.75" customHeight="1" hidden="1">
      <c r="A924" s="6"/>
      <c r="B924" s="29">
        <v>2710</v>
      </c>
      <c r="C924" s="30" t="s">
        <v>70</v>
      </c>
      <c r="D924" s="373"/>
      <c r="E924" s="373"/>
      <c r="F924" s="42"/>
      <c r="G924" s="42"/>
      <c r="H924" s="411"/>
      <c r="I924" s="412"/>
    </row>
    <row r="925" spans="1:9" ht="12.75" customHeight="1" hidden="1">
      <c r="A925" s="6"/>
      <c r="B925" s="29">
        <v>2720</v>
      </c>
      <c r="C925" s="30" t="s">
        <v>71</v>
      </c>
      <c r="D925" s="373"/>
      <c r="E925" s="373"/>
      <c r="F925" s="34"/>
      <c r="G925" s="42"/>
      <c r="H925" s="411"/>
      <c r="I925" s="412"/>
    </row>
    <row r="926" spans="1:9" ht="12.75" customHeight="1" hidden="1">
      <c r="A926" s="6"/>
      <c r="B926" s="29">
        <v>2730</v>
      </c>
      <c r="C926" s="30" t="s">
        <v>72</v>
      </c>
      <c r="D926" s="373"/>
      <c r="E926" s="373"/>
      <c r="F926" s="34"/>
      <c r="G926" s="42"/>
      <c r="H926" s="411"/>
      <c r="I926" s="412"/>
    </row>
    <row r="927" spans="1:9" ht="12.75" customHeight="1" hidden="1">
      <c r="A927" s="6"/>
      <c r="B927" s="27">
        <v>2800</v>
      </c>
      <c r="C927" s="28" t="s">
        <v>73</v>
      </c>
      <c r="D927" s="373"/>
      <c r="E927" s="373"/>
      <c r="F927" s="34"/>
      <c r="G927" s="42"/>
      <c r="H927" s="411"/>
      <c r="I927" s="412"/>
    </row>
    <row r="928" spans="1:11" s="19" customFormat="1" ht="12.75">
      <c r="A928" s="7"/>
      <c r="B928" s="7"/>
      <c r="C928" s="20" t="s">
        <v>3</v>
      </c>
      <c r="D928" s="372">
        <f>D893</f>
        <v>618.37</v>
      </c>
      <c r="E928" s="372">
        <f>E893</f>
        <v>932.5</v>
      </c>
      <c r="F928" s="34">
        <f>F893</f>
        <v>1080.7</v>
      </c>
      <c r="G928" s="34">
        <f>G893</f>
        <v>100</v>
      </c>
      <c r="H928" s="413"/>
      <c r="I928" s="414"/>
      <c r="J928" s="358">
        <f>J904+J903</f>
        <v>710.9000000000001</v>
      </c>
      <c r="K928" s="358">
        <f>K904+K903</f>
        <v>363.6</v>
      </c>
    </row>
    <row r="929" spans="2:10" s="37" customFormat="1" ht="13.5" customHeight="1">
      <c r="B929" s="36">
        <v>1115030</v>
      </c>
      <c r="C929" s="36" t="s">
        <v>95</v>
      </c>
      <c r="D929" s="383">
        <f>D930+D987+D1024</f>
        <v>55749.85999999999</v>
      </c>
      <c r="E929" s="383">
        <f>E930+E987+E1024</f>
        <v>69320.34700000001</v>
      </c>
      <c r="F929" s="43">
        <f>F930+F987+F1024</f>
        <v>73430.1</v>
      </c>
      <c r="G929" s="43">
        <f>G930+G987+G1024</f>
        <v>4541.9</v>
      </c>
      <c r="H929" s="425"/>
      <c r="I929" s="426"/>
      <c r="J929" s="350"/>
    </row>
    <row r="930" spans="2:10" s="48" customFormat="1" ht="26.25">
      <c r="B930" s="46">
        <v>1115031</v>
      </c>
      <c r="C930" s="46" t="s">
        <v>96</v>
      </c>
      <c r="D930" s="381">
        <f>D931+D966</f>
        <v>26760.199999999997</v>
      </c>
      <c r="E930" s="381">
        <f>E931+E966</f>
        <v>34405.147000000004</v>
      </c>
      <c r="F930" s="50">
        <f>F931+F966</f>
        <v>37046.1</v>
      </c>
      <c r="G930" s="50">
        <f>G931+G966</f>
        <v>2544.5</v>
      </c>
      <c r="H930" s="425"/>
      <c r="I930" s="426"/>
      <c r="J930" s="354"/>
    </row>
    <row r="931" spans="1:9" ht="12.75">
      <c r="A931" s="6"/>
      <c r="B931" s="27">
        <v>2000</v>
      </c>
      <c r="C931" s="28" t="s">
        <v>37</v>
      </c>
      <c r="D931" s="370">
        <f>D932+D937+D954+D957+D961+D965</f>
        <v>24444.159999999996</v>
      </c>
      <c r="E931" s="370">
        <f>E932+E937+E954+E957+E961+E965</f>
        <v>32740.147000000004</v>
      </c>
      <c r="F931" s="33">
        <f>F932+F937+F954+F957+F961+F965</f>
        <v>37046.1</v>
      </c>
      <c r="G931" s="33">
        <f>G932+G937+G954+G957+G961+G965</f>
        <v>1466.3000000000002</v>
      </c>
      <c r="H931" s="425"/>
      <c r="I931" s="426"/>
    </row>
    <row r="932" spans="1:9" ht="12.75" customHeight="1">
      <c r="A932" s="6"/>
      <c r="B932" s="29">
        <v>2100</v>
      </c>
      <c r="C932" s="30" t="s">
        <v>38</v>
      </c>
      <c r="D932" s="371">
        <f>D933+D936</f>
        <v>20775.989999999998</v>
      </c>
      <c r="E932" s="371">
        <f>E933+E936</f>
        <v>25100.013000000003</v>
      </c>
      <c r="F932" s="35">
        <f>F933+F936</f>
        <v>28620</v>
      </c>
      <c r="G932" s="35">
        <f>G933+G936</f>
        <v>533.6</v>
      </c>
      <c r="H932" s="403" t="s">
        <v>597</v>
      </c>
      <c r="I932" s="404"/>
    </row>
    <row r="933" spans="1:9" ht="12.75">
      <c r="A933" s="6"/>
      <c r="B933" s="29">
        <v>2110</v>
      </c>
      <c r="C933" s="30" t="s">
        <v>39</v>
      </c>
      <c r="D933" s="371">
        <f>D934+D935</f>
        <v>17012.8</v>
      </c>
      <c r="E933" s="371">
        <f>E934+E935</f>
        <v>20548.9</v>
      </c>
      <c r="F933" s="35">
        <f>F934+F935</f>
        <v>23459</v>
      </c>
      <c r="G933" s="35">
        <f>G934+G935</f>
        <v>437.4</v>
      </c>
      <c r="H933" s="405"/>
      <c r="I933" s="406"/>
    </row>
    <row r="934" spans="1:9" ht="12.75">
      <c r="A934" s="6"/>
      <c r="B934" s="29">
        <v>2111</v>
      </c>
      <c r="C934" s="30" t="s">
        <v>42</v>
      </c>
      <c r="D934" s="372">
        <v>17012.8</v>
      </c>
      <c r="E934" s="372">
        <v>20548.9</v>
      </c>
      <c r="F934" s="34">
        <v>23459</v>
      </c>
      <c r="G934" s="34">
        <v>437.4</v>
      </c>
      <c r="H934" s="405"/>
      <c r="I934" s="406"/>
    </row>
    <row r="935" spans="1:9" ht="12.75" customHeight="1" hidden="1">
      <c r="A935" s="6"/>
      <c r="B935" s="29">
        <v>2112</v>
      </c>
      <c r="C935" s="30" t="s">
        <v>43</v>
      </c>
      <c r="D935" s="372"/>
      <c r="E935" s="372"/>
      <c r="F935" s="34"/>
      <c r="G935" s="34"/>
      <c r="H935" s="405"/>
      <c r="I935" s="406"/>
    </row>
    <row r="936" spans="1:9" ht="12.75">
      <c r="A936" s="6"/>
      <c r="B936" s="29">
        <v>2120</v>
      </c>
      <c r="C936" s="30" t="s">
        <v>44</v>
      </c>
      <c r="D936" s="372">
        <v>3763.19</v>
      </c>
      <c r="E936" s="372">
        <v>4551.113</v>
      </c>
      <c r="F936" s="34">
        <v>5161</v>
      </c>
      <c r="G936" s="34">
        <f>ROUND(G934*0.22,1)</f>
        <v>96.2</v>
      </c>
      <c r="H936" s="407"/>
      <c r="I936" s="408"/>
    </row>
    <row r="937" spans="1:9" ht="12.75">
      <c r="A937" s="6"/>
      <c r="B937" s="27">
        <v>2200</v>
      </c>
      <c r="C937" s="28" t="s">
        <v>45</v>
      </c>
      <c r="D937" s="370">
        <f>SUM(D938:D944)+D951</f>
        <v>3655.44</v>
      </c>
      <c r="E937" s="370">
        <f>SUM(E938:E944)+E951</f>
        <v>7623.934</v>
      </c>
      <c r="F937" s="33">
        <f>SUM(F938:F944)+F951</f>
        <v>8422.5</v>
      </c>
      <c r="G937" s="33">
        <f>SUM(G938:G944)+G951</f>
        <v>932.7</v>
      </c>
      <c r="H937" s="427"/>
      <c r="I937" s="427"/>
    </row>
    <row r="938" spans="1:9" ht="25.5" customHeight="1">
      <c r="A938" s="6"/>
      <c r="B938" s="29">
        <v>2210</v>
      </c>
      <c r="C938" s="30" t="s">
        <v>46</v>
      </c>
      <c r="D938" s="372">
        <v>1192.62</v>
      </c>
      <c r="E938" s="372">
        <v>2567.5</v>
      </c>
      <c r="F938" s="34">
        <v>2742.3</v>
      </c>
      <c r="G938" s="34">
        <v>462.5</v>
      </c>
      <c r="H938" s="402" t="s">
        <v>599</v>
      </c>
      <c r="I938" s="402"/>
    </row>
    <row r="939" spans="1:9" ht="12.75">
      <c r="A939" s="6"/>
      <c r="B939" s="29">
        <v>2220</v>
      </c>
      <c r="C939" s="30" t="s">
        <v>47</v>
      </c>
      <c r="D939" s="372">
        <v>37.1</v>
      </c>
      <c r="E939" s="372">
        <v>30</v>
      </c>
      <c r="F939" s="34">
        <v>29.4</v>
      </c>
      <c r="G939" s="34"/>
      <c r="H939" s="427"/>
      <c r="I939" s="427"/>
    </row>
    <row r="940" spans="1:9" ht="12.75" customHeight="1" hidden="1">
      <c r="A940" s="6"/>
      <c r="B940" s="29">
        <v>2230</v>
      </c>
      <c r="C940" s="30" t="s">
        <v>48</v>
      </c>
      <c r="D940" s="372"/>
      <c r="E940" s="372"/>
      <c r="F940" s="34">
        <v>0</v>
      </c>
      <c r="G940" s="34"/>
      <c r="H940" s="427"/>
      <c r="I940" s="427"/>
    </row>
    <row r="941" spans="1:9" ht="24.75" customHeight="1">
      <c r="A941" s="6"/>
      <c r="B941" s="29">
        <v>2240</v>
      </c>
      <c r="C941" s="30" t="s">
        <v>49</v>
      </c>
      <c r="D941" s="372">
        <v>1525.68</v>
      </c>
      <c r="E941" s="372">
        <v>2831</v>
      </c>
      <c r="F941" s="34">
        <v>3090.6999999999994</v>
      </c>
      <c r="G941" s="34">
        <f>265.3+4.9</f>
        <v>270.2</v>
      </c>
      <c r="H941" s="403" t="s">
        <v>596</v>
      </c>
      <c r="I941" s="404"/>
    </row>
    <row r="942" spans="1:9" ht="24.75" customHeight="1">
      <c r="A942" s="6"/>
      <c r="B942" s="29">
        <v>2250</v>
      </c>
      <c r="C942" s="30" t="s">
        <v>50</v>
      </c>
      <c r="D942" s="372">
        <v>804.4</v>
      </c>
      <c r="E942" s="372">
        <v>1764.134</v>
      </c>
      <c r="F942" s="34">
        <v>2118.9999999999995</v>
      </c>
      <c r="G942" s="34">
        <v>200</v>
      </c>
      <c r="H942" s="407"/>
      <c r="I942" s="408"/>
    </row>
    <row r="943" spans="1:9" ht="12.75" customHeight="1" hidden="1">
      <c r="A943" s="6"/>
      <c r="B943" s="29">
        <v>2260</v>
      </c>
      <c r="C943" s="30" t="s">
        <v>51</v>
      </c>
      <c r="D943" s="372"/>
      <c r="E943" s="372"/>
      <c r="F943" s="34"/>
      <c r="G943" s="34"/>
      <c r="H943" s="427"/>
      <c r="I943" s="427"/>
    </row>
    <row r="944" spans="1:9" ht="12.75">
      <c r="A944" s="6"/>
      <c r="B944" s="27">
        <v>2270</v>
      </c>
      <c r="C944" s="28" t="s">
        <v>52</v>
      </c>
      <c r="D944" s="370">
        <f>D945+D946+D947+D948+D949+D950</f>
        <v>88.30000000000001</v>
      </c>
      <c r="E944" s="370">
        <f>E945+E946+E947+E948+E949+E950</f>
        <v>389.69999999999993</v>
      </c>
      <c r="F944" s="33">
        <f>F945+F946+F947+F948+F949+F950</f>
        <v>420.1</v>
      </c>
      <c r="G944" s="33">
        <f>G945+G946+G947+G948+G949+G950</f>
        <v>0</v>
      </c>
      <c r="H944" s="427"/>
      <c r="I944" s="427"/>
    </row>
    <row r="945" spans="1:9" ht="12.75">
      <c r="A945" s="6"/>
      <c r="B945" s="29">
        <v>2271</v>
      </c>
      <c r="C945" s="30" t="s">
        <v>53</v>
      </c>
      <c r="D945" s="372">
        <v>27.56</v>
      </c>
      <c r="E945" s="372">
        <v>135.1</v>
      </c>
      <c r="F945" s="34">
        <v>163.20000000000002</v>
      </c>
      <c r="G945" s="34"/>
      <c r="H945" s="427"/>
      <c r="I945" s="427"/>
    </row>
    <row r="946" spans="1:9" ht="12.75">
      <c r="A946" s="6"/>
      <c r="B946" s="29">
        <v>2272</v>
      </c>
      <c r="C946" s="30" t="s">
        <v>54</v>
      </c>
      <c r="D946" s="372">
        <v>5</v>
      </c>
      <c r="E946" s="372">
        <v>33.6</v>
      </c>
      <c r="F946" s="34">
        <v>64.3</v>
      </c>
      <c r="G946" s="34"/>
      <c r="H946" s="427"/>
      <c r="I946" s="427"/>
    </row>
    <row r="947" spans="1:9" ht="12.75">
      <c r="A947" s="6"/>
      <c r="B947" s="29">
        <v>2273</v>
      </c>
      <c r="C947" s="30" t="s">
        <v>55</v>
      </c>
      <c r="D947" s="372">
        <v>20.1</v>
      </c>
      <c r="E947" s="372">
        <v>165.1</v>
      </c>
      <c r="F947" s="34">
        <v>132.6</v>
      </c>
      <c r="G947" s="34"/>
      <c r="H947" s="427"/>
      <c r="I947" s="427"/>
    </row>
    <row r="948" spans="1:9" ht="12.75" customHeight="1" hidden="1">
      <c r="A948" s="6"/>
      <c r="B948" s="29">
        <v>2274</v>
      </c>
      <c r="C948" s="30" t="s">
        <v>56</v>
      </c>
      <c r="D948" s="372"/>
      <c r="E948" s="372"/>
      <c r="F948" s="34"/>
      <c r="G948" s="34"/>
      <c r="H948" s="427"/>
      <c r="I948" s="427"/>
    </row>
    <row r="949" spans="1:9" ht="12.75">
      <c r="A949" s="6"/>
      <c r="B949" s="29">
        <v>2275</v>
      </c>
      <c r="C949" s="30" t="s">
        <v>57</v>
      </c>
      <c r="D949" s="372">
        <v>35.64</v>
      </c>
      <c r="E949" s="372">
        <v>55.9</v>
      </c>
      <c r="F949" s="34">
        <v>60</v>
      </c>
      <c r="G949" s="34"/>
      <c r="H949" s="427"/>
      <c r="I949" s="427"/>
    </row>
    <row r="950" spans="1:9" ht="12.75" customHeight="1" hidden="1">
      <c r="A950" s="6"/>
      <c r="B950" s="31">
        <v>2276</v>
      </c>
      <c r="C950" s="32" t="s">
        <v>58</v>
      </c>
      <c r="D950" s="372"/>
      <c r="E950" s="372"/>
      <c r="F950" s="34"/>
      <c r="G950" s="34"/>
      <c r="H950" s="427"/>
      <c r="I950" s="427"/>
    </row>
    <row r="951" spans="1:9" ht="12.75">
      <c r="A951" s="6"/>
      <c r="B951" s="27">
        <v>2280</v>
      </c>
      <c r="C951" s="28" t="s">
        <v>59</v>
      </c>
      <c r="D951" s="370">
        <f>D952+D953</f>
        <v>7.34</v>
      </c>
      <c r="E951" s="370">
        <f>E952+E953</f>
        <v>41.6</v>
      </c>
      <c r="F951" s="33">
        <f>F952+F953</f>
        <v>21</v>
      </c>
      <c r="G951" s="33">
        <f>G952+G953</f>
        <v>0</v>
      </c>
      <c r="H951" s="427"/>
      <c r="I951" s="427"/>
    </row>
    <row r="952" spans="1:9" ht="12.75" customHeight="1" hidden="1">
      <c r="A952" s="6"/>
      <c r="B952" s="29">
        <v>2281</v>
      </c>
      <c r="C952" s="30" t="s">
        <v>60</v>
      </c>
      <c r="D952" s="372"/>
      <c r="E952" s="372"/>
      <c r="F952" s="34"/>
      <c r="G952" s="34"/>
      <c r="H952" s="427"/>
      <c r="I952" s="427"/>
    </row>
    <row r="953" spans="1:9" ht="12.75">
      <c r="A953" s="6"/>
      <c r="B953" s="29">
        <v>2282</v>
      </c>
      <c r="C953" s="30" t="s">
        <v>61</v>
      </c>
      <c r="D953" s="372">
        <v>7.34</v>
      </c>
      <c r="E953" s="372">
        <v>41.6</v>
      </c>
      <c r="F953" s="34">
        <v>21</v>
      </c>
      <c r="G953" s="34"/>
      <c r="H953" s="427"/>
      <c r="I953" s="427"/>
    </row>
    <row r="954" spans="1:9" ht="12.75" customHeight="1" hidden="1">
      <c r="A954" s="6"/>
      <c r="B954" s="27">
        <v>2400</v>
      </c>
      <c r="C954" s="28" t="s">
        <v>62</v>
      </c>
      <c r="D954" s="372">
        <f>D955+D956</f>
        <v>0</v>
      </c>
      <c r="E954" s="372">
        <f>E955+E956</f>
        <v>0</v>
      </c>
      <c r="F954" s="34">
        <f>F955+F956</f>
        <v>0</v>
      </c>
      <c r="G954" s="34">
        <f>G955+G956</f>
        <v>0</v>
      </c>
      <c r="H954" s="427"/>
      <c r="I954" s="427"/>
    </row>
    <row r="955" spans="1:9" ht="12.75" customHeight="1" hidden="1">
      <c r="A955" s="6"/>
      <c r="B955" s="29">
        <v>2410</v>
      </c>
      <c r="C955" s="30" t="s">
        <v>63</v>
      </c>
      <c r="D955" s="372"/>
      <c r="E955" s="372"/>
      <c r="F955" s="34"/>
      <c r="G955" s="34"/>
      <c r="H955" s="427"/>
      <c r="I955" s="427"/>
    </row>
    <row r="956" spans="1:9" ht="12.75" customHeight="1" hidden="1">
      <c r="A956" s="6"/>
      <c r="B956" s="29">
        <v>2420</v>
      </c>
      <c r="C956" s="30" t="s">
        <v>64</v>
      </c>
      <c r="D956" s="372"/>
      <c r="E956" s="372"/>
      <c r="F956" s="34"/>
      <c r="G956" s="34"/>
      <c r="H956" s="427"/>
      <c r="I956" s="427"/>
    </row>
    <row r="957" spans="1:9" ht="12.75" customHeight="1" hidden="1">
      <c r="A957" s="6"/>
      <c r="B957" s="27">
        <v>2600</v>
      </c>
      <c r="C957" s="28" t="s">
        <v>65</v>
      </c>
      <c r="D957" s="370">
        <f>D958+D959+D960</f>
        <v>0</v>
      </c>
      <c r="E957" s="370">
        <f>E958+E959+E960</f>
        <v>0</v>
      </c>
      <c r="F957" s="33">
        <f>F958+F959+F960</f>
        <v>0</v>
      </c>
      <c r="G957" s="33">
        <f>G958+G959+G960</f>
        <v>0</v>
      </c>
      <c r="H957" s="427"/>
      <c r="I957" s="427"/>
    </row>
    <row r="958" spans="1:9" ht="12.75" customHeight="1" hidden="1">
      <c r="A958" s="6"/>
      <c r="B958" s="29">
        <v>2610</v>
      </c>
      <c r="C958" s="30" t="s">
        <v>66</v>
      </c>
      <c r="D958" s="372"/>
      <c r="E958" s="372"/>
      <c r="F958" s="34"/>
      <c r="G958" s="34"/>
      <c r="H958" s="427"/>
      <c r="I958" s="427"/>
    </row>
    <row r="959" spans="1:9" ht="12.75" customHeight="1" hidden="1">
      <c r="A959" s="6"/>
      <c r="B959" s="29">
        <v>2620</v>
      </c>
      <c r="C959" s="30" t="s">
        <v>67</v>
      </c>
      <c r="D959" s="372"/>
      <c r="E959" s="372"/>
      <c r="F959" s="34"/>
      <c r="G959" s="34"/>
      <c r="H959" s="427"/>
      <c r="I959" s="427"/>
    </row>
    <row r="960" spans="1:9" ht="12.75" customHeight="1" hidden="1">
      <c r="A960" s="6"/>
      <c r="B960" s="29">
        <v>2630</v>
      </c>
      <c r="C960" s="30" t="s">
        <v>68</v>
      </c>
      <c r="D960" s="372"/>
      <c r="E960" s="372"/>
      <c r="F960" s="34"/>
      <c r="G960" s="34"/>
      <c r="H960" s="427"/>
      <c r="I960" s="427"/>
    </row>
    <row r="961" spans="1:9" ht="12.75" customHeight="1" hidden="1">
      <c r="A961" s="6"/>
      <c r="B961" s="27">
        <v>2700</v>
      </c>
      <c r="C961" s="28" t="s">
        <v>69</v>
      </c>
      <c r="D961" s="370">
        <f>D962+D963+D964</f>
        <v>0</v>
      </c>
      <c r="E961" s="370">
        <f>E962+E963+E964</f>
        <v>0</v>
      </c>
      <c r="F961" s="33">
        <f>F962+F963+F964</f>
        <v>0</v>
      </c>
      <c r="G961" s="33">
        <f>G962+G963+G964</f>
        <v>0</v>
      </c>
      <c r="H961" s="427"/>
      <c r="I961" s="427"/>
    </row>
    <row r="962" spans="1:9" ht="12.75" customHeight="1" hidden="1">
      <c r="A962" s="6"/>
      <c r="B962" s="29">
        <v>2710</v>
      </c>
      <c r="C962" s="30" t="s">
        <v>70</v>
      </c>
      <c r="D962" s="373"/>
      <c r="E962" s="373"/>
      <c r="F962" s="42"/>
      <c r="G962" s="42"/>
      <c r="H962" s="427"/>
      <c r="I962" s="427"/>
    </row>
    <row r="963" spans="1:9" ht="12.75" customHeight="1" hidden="1">
      <c r="A963" s="6"/>
      <c r="B963" s="29">
        <v>2720</v>
      </c>
      <c r="C963" s="30" t="s">
        <v>71</v>
      </c>
      <c r="D963" s="373"/>
      <c r="E963" s="373"/>
      <c r="F963" s="34"/>
      <c r="G963" s="42"/>
      <c r="H963" s="427"/>
      <c r="I963" s="427"/>
    </row>
    <row r="964" spans="1:9" ht="12.75" customHeight="1" hidden="1">
      <c r="A964" s="6"/>
      <c r="B964" s="29">
        <v>2730</v>
      </c>
      <c r="C964" s="30" t="s">
        <v>72</v>
      </c>
      <c r="D964" s="373"/>
      <c r="E964" s="373"/>
      <c r="F964" s="34"/>
      <c r="G964" s="42"/>
      <c r="H964" s="427"/>
      <c r="I964" s="427"/>
    </row>
    <row r="965" spans="1:9" ht="12.75">
      <c r="A965" s="6"/>
      <c r="B965" s="27">
        <v>2800</v>
      </c>
      <c r="C965" s="28" t="s">
        <v>73</v>
      </c>
      <c r="D965" s="372">
        <v>12.73</v>
      </c>
      <c r="E965" s="372">
        <v>16.2</v>
      </c>
      <c r="F965" s="34">
        <v>3.6</v>
      </c>
      <c r="G965" s="42"/>
      <c r="H965" s="427"/>
      <c r="I965" s="427"/>
    </row>
    <row r="966" spans="1:9" ht="12.75">
      <c r="A966" s="21"/>
      <c r="B966" s="27">
        <v>3000</v>
      </c>
      <c r="C966" s="28" t="s">
        <v>40</v>
      </c>
      <c r="D966" s="374">
        <f>D967+D981</f>
        <v>2316.04</v>
      </c>
      <c r="E966" s="374">
        <f>E967+E981</f>
        <v>1665</v>
      </c>
      <c r="F966" s="40">
        <f>F967+F981</f>
        <v>0</v>
      </c>
      <c r="G966" s="40">
        <f>G967+G981</f>
        <v>1078.2</v>
      </c>
      <c r="H966" s="403" t="s">
        <v>618</v>
      </c>
      <c r="I966" s="404"/>
    </row>
    <row r="967" spans="1:9" ht="24.75" customHeight="1">
      <c r="A967" s="21"/>
      <c r="B967" s="27">
        <v>3100</v>
      </c>
      <c r="C967" s="28" t="s">
        <v>41</v>
      </c>
      <c r="D967" s="374">
        <f>D968+D969+D972+D975+D979+D980+D981</f>
        <v>2316.04</v>
      </c>
      <c r="E967" s="374">
        <f>E968+E969+E972+E975+E979+E980+E981</f>
        <v>1665</v>
      </c>
      <c r="F967" s="40">
        <f>F968+F969+F972+F975+F979+F980+F981</f>
        <v>0</v>
      </c>
      <c r="G967" s="40">
        <f>G968+G969+G972+G975+G979+G980+G981</f>
        <v>1078.2</v>
      </c>
      <c r="H967" s="405"/>
      <c r="I967" s="406"/>
    </row>
    <row r="968" spans="1:9" ht="33" customHeight="1">
      <c r="A968" s="21"/>
      <c r="B968" s="29">
        <v>3110</v>
      </c>
      <c r="C968" s="30" t="s">
        <v>74</v>
      </c>
      <c r="D968" s="373">
        <v>972.95</v>
      </c>
      <c r="E968" s="373">
        <f>1372.5+52.5</f>
        <v>1425</v>
      </c>
      <c r="F968" s="41"/>
      <c r="G968" s="41">
        <v>1078.2</v>
      </c>
      <c r="H968" s="407"/>
      <c r="I968" s="408"/>
    </row>
    <row r="969" spans="1:9" ht="12.75" customHeight="1" hidden="1">
      <c r="A969" s="21"/>
      <c r="B969" s="29">
        <v>3120</v>
      </c>
      <c r="C969" s="30" t="s">
        <v>75</v>
      </c>
      <c r="D969" s="374">
        <f>D970+D971</f>
        <v>0</v>
      </c>
      <c r="E969" s="374">
        <f>E970+E971</f>
        <v>0</v>
      </c>
      <c r="F969" s="40">
        <f>F970+F971</f>
        <v>0</v>
      </c>
      <c r="G969" s="40">
        <f>G970+G971</f>
        <v>0</v>
      </c>
      <c r="H969" s="402"/>
      <c r="I969" s="402"/>
    </row>
    <row r="970" spans="1:9" ht="12.75" customHeight="1" hidden="1">
      <c r="A970" s="21"/>
      <c r="B970" s="29">
        <v>3121</v>
      </c>
      <c r="C970" s="30" t="s">
        <v>76</v>
      </c>
      <c r="D970" s="375"/>
      <c r="E970" s="375"/>
      <c r="F970" s="41"/>
      <c r="G970" s="41"/>
      <c r="H970" s="402"/>
      <c r="I970" s="402"/>
    </row>
    <row r="971" spans="1:9" ht="12.75" customHeight="1" hidden="1">
      <c r="A971" s="21"/>
      <c r="B971" s="29">
        <v>3122</v>
      </c>
      <c r="C971" s="30" t="s">
        <v>77</v>
      </c>
      <c r="D971" s="375"/>
      <c r="E971" s="375"/>
      <c r="F971" s="41"/>
      <c r="G971" s="41"/>
      <c r="H971" s="402"/>
      <c r="I971" s="402"/>
    </row>
    <row r="972" spans="1:9" ht="12.75">
      <c r="A972" s="21"/>
      <c r="B972" s="29">
        <v>3130</v>
      </c>
      <c r="C972" s="30" t="s">
        <v>78</v>
      </c>
      <c r="D972" s="374">
        <f>D973+D974</f>
        <v>1343.09</v>
      </c>
      <c r="E972" s="374">
        <f>E973+E974</f>
        <v>240</v>
      </c>
      <c r="F972" s="40">
        <f>F973+F974</f>
        <v>0</v>
      </c>
      <c r="G972" s="40">
        <f>G973+G974</f>
        <v>0</v>
      </c>
      <c r="H972" s="402"/>
      <c r="I972" s="402"/>
    </row>
    <row r="973" spans="1:9" ht="12.75" customHeight="1" hidden="1">
      <c r="A973" s="21"/>
      <c r="B973" s="29">
        <v>3131</v>
      </c>
      <c r="C973" s="30" t="s">
        <v>79</v>
      </c>
      <c r="D973" s="375"/>
      <c r="E973" s="375"/>
      <c r="F973" s="41"/>
      <c r="G973" s="41"/>
      <c r="H973" s="402"/>
      <c r="I973" s="402"/>
    </row>
    <row r="974" spans="1:9" ht="12.75">
      <c r="A974" s="21"/>
      <c r="B974" s="29">
        <v>3132</v>
      </c>
      <c r="C974" s="30" t="s">
        <v>80</v>
      </c>
      <c r="D974" s="373">
        <v>1343.09</v>
      </c>
      <c r="E974" s="373">
        <v>240</v>
      </c>
      <c r="F974" s="41"/>
      <c r="G974" s="76"/>
      <c r="H974" s="402"/>
      <c r="I974" s="402"/>
    </row>
    <row r="975" spans="1:9" ht="12.75" customHeight="1" hidden="1">
      <c r="A975" s="21"/>
      <c r="B975" s="29">
        <v>3140</v>
      </c>
      <c r="C975" s="30" t="s">
        <v>81</v>
      </c>
      <c r="D975" s="374">
        <f>D976+D977+D978</f>
        <v>0</v>
      </c>
      <c r="E975" s="374">
        <f>E976+E977+E978</f>
        <v>0</v>
      </c>
      <c r="F975" s="40">
        <f>F976+F977+F978</f>
        <v>0</v>
      </c>
      <c r="G975" s="40">
        <f>G976+G977+G978</f>
        <v>0</v>
      </c>
      <c r="H975" s="402"/>
      <c r="I975" s="402"/>
    </row>
    <row r="976" spans="1:9" ht="12.75" customHeight="1" hidden="1">
      <c r="A976" s="21"/>
      <c r="B976" s="29">
        <v>3141</v>
      </c>
      <c r="C976" s="30" t="s">
        <v>82</v>
      </c>
      <c r="D976" s="375"/>
      <c r="E976" s="375"/>
      <c r="F976" s="41"/>
      <c r="G976" s="41"/>
      <c r="H976" s="402"/>
      <c r="I976" s="402"/>
    </row>
    <row r="977" spans="1:9" ht="12.75" customHeight="1" hidden="1">
      <c r="A977" s="21"/>
      <c r="B977" s="29">
        <v>3142</v>
      </c>
      <c r="C977" s="30" t="s">
        <v>83</v>
      </c>
      <c r="D977" s="375"/>
      <c r="E977" s="375"/>
      <c r="F977" s="41"/>
      <c r="G977" s="41"/>
      <c r="H977" s="402"/>
      <c r="I977" s="402"/>
    </row>
    <row r="978" spans="1:9" ht="12.75" customHeight="1" hidden="1">
      <c r="A978" s="21"/>
      <c r="B978" s="29">
        <v>3143</v>
      </c>
      <c r="C978" s="30" t="s">
        <v>84</v>
      </c>
      <c r="D978" s="375"/>
      <c r="E978" s="375"/>
      <c r="F978" s="41"/>
      <c r="G978" s="41"/>
      <c r="H978" s="402"/>
      <c r="I978" s="402"/>
    </row>
    <row r="979" spans="1:9" ht="12.75" customHeight="1" hidden="1">
      <c r="A979" s="21"/>
      <c r="B979" s="29">
        <v>3150</v>
      </c>
      <c r="C979" s="30" t="s">
        <v>85</v>
      </c>
      <c r="D979" s="375"/>
      <c r="E979" s="375"/>
      <c r="F979" s="41"/>
      <c r="G979" s="41"/>
      <c r="H979" s="402"/>
      <c r="I979" s="402"/>
    </row>
    <row r="980" spans="1:9" ht="12.75" customHeight="1" hidden="1">
      <c r="A980" s="21"/>
      <c r="B980" s="29">
        <v>3160</v>
      </c>
      <c r="C980" s="30" t="s">
        <v>86</v>
      </c>
      <c r="D980" s="375"/>
      <c r="E980" s="375"/>
      <c r="F980" s="41"/>
      <c r="G980" s="41"/>
      <c r="H980" s="402"/>
      <c r="I980" s="402"/>
    </row>
    <row r="981" spans="1:9" ht="12.75" customHeight="1" hidden="1">
      <c r="A981" s="21"/>
      <c r="B981" s="27">
        <v>3200</v>
      </c>
      <c r="C981" s="28" t="s">
        <v>87</v>
      </c>
      <c r="D981" s="374">
        <f>D982+D983+D984+D985</f>
        <v>0</v>
      </c>
      <c r="E981" s="374">
        <f>E982+E983+E984+E985</f>
        <v>0</v>
      </c>
      <c r="F981" s="40">
        <f>F982+F983+F984+F985</f>
        <v>0</v>
      </c>
      <c r="G981" s="40">
        <f>G982+G983+G984+G985</f>
        <v>0</v>
      </c>
      <c r="H981" s="402"/>
      <c r="I981" s="402"/>
    </row>
    <row r="982" spans="1:9" ht="12.75" customHeight="1" hidden="1">
      <c r="A982" s="21"/>
      <c r="B982" s="29">
        <v>3210</v>
      </c>
      <c r="C982" s="30" t="s">
        <v>88</v>
      </c>
      <c r="D982" s="375"/>
      <c r="E982" s="375"/>
      <c r="F982" s="41"/>
      <c r="G982" s="41"/>
      <c r="H982" s="402"/>
      <c r="I982" s="402"/>
    </row>
    <row r="983" spans="1:9" ht="12.75" customHeight="1" hidden="1">
      <c r="A983" s="21"/>
      <c r="B983" s="29">
        <v>3220</v>
      </c>
      <c r="C983" s="30" t="s">
        <v>89</v>
      </c>
      <c r="D983" s="375"/>
      <c r="E983" s="375"/>
      <c r="F983" s="41"/>
      <c r="G983" s="41"/>
      <c r="H983" s="402"/>
      <c r="I983" s="402"/>
    </row>
    <row r="984" spans="1:9" ht="12.75" customHeight="1" hidden="1">
      <c r="A984" s="21"/>
      <c r="B984" s="29">
        <v>3230</v>
      </c>
      <c r="C984" s="30" t="s">
        <v>90</v>
      </c>
      <c r="D984" s="375"/>
      <c r="E984" s="375"/>
      <c r="F984" s="41"/>
      <c r="G984" s="41"/>
      <c r="H984" s="402"/>
      <c r="I984" s="402"/>
    </row>
    <row r="985" spans="1:9" ht="12.75" customHeight="1" hidden="1">
      <c r="A985" s="21"/>
      <c r="B985" s="29">
        <v>3240</v>
      </c>
      <c r="C985" s="30" t="s">
        <v>91</v>
      </c>
      <c r="D985" s="375"/>
      <c r="E985" s="375"/>
      <c r="F985" s="41"/>
      <c r="G985" s="41"/>
      <c r="H985" s="402"/>
      <c r="I985" s="402"/>
    </row>
    <row r="986" spans="1:10" s="19" customFormat="1" ht="13.5" customHeight="1">
      <c r="A986" s="7"/>
      <c r="B986" s="7"/>
      <c r="C986" s="20" t="s">
        <v>3</v>
      </c>
      <c r="D986" s="372">
        <f>D931+D966</f>
        <v>26760.199999999997</v>
      </c>
      <c r="E986" s="372">
        <f>E931+E966</f>
        <v>34405.147000000004</v>
      </c>
      <c r="F986" s="34">
        <f>F931+F966</f>
        <v>37046.1</v>
      </c>
      <c r="G986" s="75">
        <f>G931+G966</f>
        <v>2544.5</v>
      </c>
      <c r="H986" s="402"/>
      <c r="I986" s="402"/>
      <c r="J986" s="353"/>
    </row>
    <row r="987" spans="2:10" s="48" customFormat="1" ht="26.25" customHeight="1">
      <c r="B987" s="46">
        <v>1115032</v>
      </c>
      <c r="C987" s="46" t="s">
        <v>97</v>
      </c>
      <c r="D987" s="381">
        <f>D988</f>
        <v>9355.84</v>
      </c>
      <c r="E987" s="381">
        <f>E988</f>
        <v>10813.1</v>
      </c>
      <c r="F987" s="50">
        <f>F988</f>
        <v>11778.9</v>
      </c>
      <c r="G987" s="50">
        <f>G988</f>
        <v>532.8</v>
      </c>
      <c r="H987" s="402" t="s">
        <v>619</v>
      </c>
      <c r="I987" s="402"/>
      <c r="J987" s="354"/>
    </row>
    <row r="988" spans="1:9" ht="23.25" customHeight="1">
      <c r="A988" s="6"/>
      <c r="B988" s="27">
        <v>2000</v>
      </c>
      <c r="C988" s="28" t="s">
        <v>37</v>
      </c>
      <c r="D988" s="370">
        <f>D989+D994+D1011+D1014+D1018+D1022</f>
        <v>9355.84</v>
      </c>
      <c r="E988" s="370">
        <f>E989+E994+E1011+E1014+E1018+E1022</f>
        <v>10813.1</v>
      </c>
      <c r="F988" s="33">
        <f>F989+F994+F1011+F1014+F1018+F1022</f>
        <v>11778.9</v>
      </c>
      <c r="G988" s="33">
        <f>G989+G994+G1011+G1014+G1018+G1022</f>
        <v>532.8</v>
      </c>
      <c r="H988" s="402"/>
      <c r="I988" s="402"/>
    </row>
    <row r="989" spans="1:9" ht="12.75" customHeight="1" hidden="1">
      <c r="A989" s="6"/>
      <c r="B989" s="29">
        <v>2100</v>
      </c>
      <c r="C989" s="30" t="s">
        <v>38</v>
      </c>
      <c r="D989" s="371">
        <f>D990+D993</f>
        <v>0</v>
      </c>
      <c r="E989" s="371">
        <f>E990+E993</f>
        <v>0</v>
      </c>
      <c r="F989" s="35">
        <f>F990+F993</f>
        <v>0</v>
      </c>
      <c r="G989" s="35">
        <f>G990+G993</f>
        <v>0</v>
      </c>
      <c r="H989" s="402"/>
      <c r="I989" s="402"/>
    </row>
    <row r="990" spans="1:9" ht="12.75" customHeight="1" hidden="1">
      <c r="A990" s="6"/>
      <c r="B990" s="29">
        <v>2110</v>
      </c>
      <c r="C990" s="30" t="s">
        <v>39</v>
      </c>
      <c r="D990" s="371">
        <f>D991+D992</f>
        <v>0</v>
      </c>
      <c r="E990" s="371">
        <f>E991+E992</f>
        <v>0</v>
      </c>
      <c r="F990" s="35">
        <f>F991+F992</f>
        <v>0</v>
      </c>
      <c r="G990" s="35">
        <f>G991+G992</f>
        <v>0</v>
      </c>
      <c r="H990" s="402"/>
      <c r="I990" s="402"/>
    </row>
    <row r="991" spans="1:9" ht="12.75" customHeight="1" hidden="1">
      <c r="A991" s="6"/>
      <c r="B991" s="29">
        <v>2111</v>
      </c>
      <c r="C991" s="30" t="s">
        <v>42</v>
      </c>
      <c r="D991" s="372"/>
      <c r="E991" s="372"/>
      <c r="F991" s="34"/>
      <c r="G991" s="34"/>
      <c r="H991" s="402"/>
      <c r="I991" s="402"/>
    </row>
    <row r="992" spans="1:9" ht="12.75" customHeight="1" hidden="1">
      <c r="A992" s="6"/>
      <c r="B992" s="29">
        <v>2112</v>
      </c>
      <c r="C992" s="30" t="s">
        <v>43</v>
      </c>
      <c r="D992" s="372"/>
      <c r="E992" s="372"/>
      <c r="F992" s="34"/>
      <c r="G992" s="34"/>
      <c r="H992" s="402"/>
      <c r="I992" s="402"/>
    </row>
    <row r="993" spans="1:9" ht="12.75" customHeight="1" hidden="1">
      <c r="A993" s="6"/>
      <c r="B993" s="29">
        <v>2120</v>
      </c>
      <c r="C993" s="30" t="s">
        <v>44</v>
      </c>
      <c r="D993" s="372"/>
      <c r="E993" s="372"/>
      <c r="F993" s="34"/>
      <c r="G993" s="34"/>
      <c r="H993" s="402"/>
      <c r="I993" s="402"/>
    </row>
    <row r="994" spans="1:9" ht="12.75" customHeight="1" hidden="1">
      <c r="A994" s="6"/>
      <c r="B994" s="27">
        <v>2200</v>
      </c>
      <c r="C994" s="28" t="s">
        <v>45</v>
      </c>
      <c r="D994" s="370">
        <f>SUM(D995:D1001)+D1008</f>
        <v>0</v>
      </c>
      <c r="E994" s="370">
        <f>SUM(E995:E1001)+E1008</f>
        <v>0</v>
      </c>
      <c r="F994" s="33">
        <f>SUM(F995:F1001)+F1008</f>
        <v>0</v>
      </c>
      <c r="G994" s="33">
        <f>SUM(G995:G1001)+G1008</f>
        <v>0</v>
      </c>
      <c r="H994" s="402"/>
      <c r="I994" s="402"/>
    </row>
    <row r="995" spans="1:9" ht="12.75" customHeight="1" hidden="1">
      <c r="A995" s="6"/>
      <c r="B995" s="29">
        <v>2210</v>
      </c>
      <c r="C995" s="30" t="s">
        <v>46</v>
      </c>
      <c r="D995" s="372"/>
      <c r="E995" s="372"/>
      <c r="F995" s="34"/>
      <c r="G995" s="34"/>
      <c r="H995" s="402"/>
      <c r="I995" s="402"/>
    </row>
    <row r="996" spans="1:9" ht="12.75" customHeight="1" hidden="1">
      <c r="A996" s="6"/>
      <c r="B996" s="29">
        <v>2220</v>
      </c>
      <c r="C996" s="30" t="s">
        <v>47</v>
      </c>
      <c r="D996" s="372"/>
      <c r="E996" s="372"/>
      <c r="F996" s="34"/>
      <c r="G996" s="34"/>
      <c r="H996" s="402"/>
      <c r="I996" s="402"/>
    </row>
    <row r="997" spans="1:9" ht="12.75" customHeight="1" hidden="1">
      <c r="A997" s="6"/>
      <c r="B997" s="29">
        <v>2230</v>
      </c>
      <c r="C997" s="30" t="s">
        <v>48</v>
      </c>
      <c r="D997" s="372"/>
      <c r="E997" s="372"/>
      <c r="F997" s="34"/>
      <c r="G997" s="34"/>
      <c r="H997" s="402"/>
      <c r="I997" s="402"/>
    </row>
    <row r="998" spans="1:9" ht="12.75" customHeight="1" hidden="1">
      <c r="A998" s="6"/>
      <c r="B998" s="29">
        <v>2240</v>
      </c>
      <c r="C998" s="30" t="s">
        <v>49</v>
      </c>
      <c r="D998" s="372"/>
      <c r="E998" s="372"/>
      <c r="F998" s="34"/>
      <c r="G998" s="34"/>
      <c r="H998" s="402"/>
      <c r="I998" s="402"/>
    </row>
    <row r="999" spans="1:9" ht="12.75" customHeight="1" hidden="1">
      <c r="A999" s="6"/>
      <c r="B999" s="29">
        <v>2250</v>
      </c>
      <c r="C999" s="30" t="s">
        <v>50</v>
      </c>
      <c r="D999" s="372"/>
      <c r="E999" s="372"/>
      <c r="F999" s="34"/>
      <c r="G999" s="34"/>
      <c r="H999" s="402"/>
      <c r="I999" s="402"/>
    </row>
    <row r="1000" spans="1:9" ht="12.75" customHeight="1" hidden="1">
      <c r="A1000" s="6"/>
      <c r="B1000" s="29">
        <v>2260</v>
      </c>
      <c r="C1000" s="30" t="s">
        <v>51</v>
      </c>
      <c r="D1000" s="372"/>
      <c r="E1000" s="372"/>
      <c r="F1000" s="34"/>
      <c r="G1000" s="34"/>
      <c r="H1000" s="402"/>
      <c r="I1000" s="402"/>
    </row>
    <row r="1001" spans="1:9" ht="12.75" customHeight="1" hidden="1">
      <c r="A1001" s="6"/>
      <c r="B1001" s="27">
        <v>2270</v>
      </c>
      <c r="C1001" s="28" t="s">
        <v>52</v>
      </c>
      <c r="D1001" s="370">
        <f>D1002+D1003+D1004+D1005+D1006+D1007</f>
        <v>0</v>
      </c>
      <c r="E1001" s="370">
        <f>E1002+E1003+E1004+E1005+E1006+E1007</f>
        <v>0</v>
      </c>
      <c r="F1001" s="33">
        <f>F1002+F1003+F1004+F1005+F1006+F1007</f>
        <v>0</v>
      </c>
      <c r="G1001" s="33">
        <f>G1002+G1003+G1004+G1005+G1006+G1007</f>
        <v>0</v>
      </c>
      <c r="H1001" s="402"/>
      <c r="I1001" s="402"/>
    </row>
    <row r="1002" spans="1:9" ht="12.75" customHeight="1" hidden="1">
      <c r="A1002" s="6"/>
      <c r="B1002" s="29">
        <v>2271</v>
      </c>
      <c r="C1002" s="30" t="s">
        <v>53</v>
      </c>
      <c r="D1002" s="372"/>
      <c r="E1002" s="372"/>
      <c r="F1002" s="34"/>
      <c r="G1002" s="34"/>
      <c r="H1002" s="402"/>
      <c r="I1002" s="402"/>
    </row>
    <row r="1003" spans="1:9" ht="12.75" customHeight="1" hidden="1">
      <c r="A1003" s="6"/>
      <c r="B1003" s="29">
        <v>2272</v>
      </c>
      <c r="C1003" s="30" t="s">
        <v>54</v>
      </c>
      <c r="D1003" s="372"/>
      <c r="E1003" s="372"/>
      <c r="F1003" s="34"/>
      <c r="G1003" s="34"/>
      <c r="H1003" s="402"/>
      <c r="I1003" s="402"/>
    </row>
    <row r="1004" spans="1:9" ht="12.75" customHeight="1" hidden="1">
      <c r="A1004" s="6"/>
      <c r="B1004" s="29">
        <v>2273</v>
      </c>
      <c r="C1004" s="30" t="s">
        <v>55</v>
      </c>
      <c r="D1004" s="372"/>
      <c r="E1004" s="372"/>
      <c r="F1004" s="34"/>
      <c r="G1004" s="34"/>
      <c r="H1004" s="402"/>
      <c r="I1004" s="402"/>
    </row>
    <row r="1005" spans="1:9" ht="12.75" customHeight="1" hidden="1">
      <c r="A1005" s="6"/>
      <c r="B1005" s="29">
        <v>2274</v>
      </c>
      <c r="C1005" s="30" t="s">
        <v>56</v>
      </c>
      <c r="D1005" s="372"/>
      <c r="E1005" s="372"/>
      <c r="F1005" s="34"/>
      <c r="G1005" s="34"/>
      <c r="H1005" s="402"/>
      <c r="I1005" s="402"/>
    </row>
    <row r="1006" spans="1:9" ht="12.75" customHeight="1" hidden="1">
      <c r="A1006" s="6"/>
      <c r="B1006" s="29">
        <v>2275</v>
      </c>
      <c r="C1006" s="30" t="s">
        <v>57</v>
      </c>
      <c r="D1006" s="372"/>
      <c r="E1006" s="372"/>
      <c r="F1006" s="34"/>
      <c r="G1006" s="34"/>
      <c r="H1006" s="402"/>
      <c r="I1006" s="402"/>
    </row>
    <row r="1007" spans="1:9" ht="12.75" customHeight="1" hidden="1">
      <c r="A1007" s="6"/>
      <c r="B1007" s="31">
        <v>2276</v>
      </c>
      <c r="C1007" s="32" t="s">
        <v>58</v>
      </c>
      <c r="D1007" s="372"/>
      <c r="E1007" s="372"/>
      <c r="F1007" s="34"/>
      <c r="G1007" s="34"/>
      <c r="H1007" s="402"/>
      <c r="I1007" s="402"/>
    </row>
    <row r="1008" spans="1:9" ht="12.75" customHeight="1" hidden="1">
      <c r="A1008" s="6"/>
      <c r="B1008" s="27">
        <v>2280</v>
      </c>
      <c r="C1008" s="28" t="s">
        <v>59</v>
      </c>
      <c r="D1008" s="370">
        <f>D1009+D1010</f>
        <v>0</v>
      </c>
      <c r="E1008" s="370">
        <f>E1009+E1010</f>
        <v>0</v>
      </c>
      <c r="F1008" s="33">
        <f>F1009+F1010</f>
        <v>0</v>
      </c>
      <c r="G1008" s="33">
        <f>G1009+G1010</f>
        <v>0</v>
      </c>
      <c r="H1008" s="402"/>
      <c r="I1008" s="402"/>
    </row>
    <row r="1009" spans="1:9" ht="12.75" customHeight="1" hidden="1">
      <c r="A1009" s="6"/>
      <c r="B1009" s="29">
        <v>2281</v>
      </c>
      <c r="C1009" s="30" t="s">
        <v>60</v>
      </c>
      <c r="D1009" s="372"/>
      <c r="E1009" s="372"/>
      <c r="F1009" s="34"/>
      <c r="G1009" s="34"/>
      <c r="H1009" s="402"/>
      <c r="I1009" s="402"/>
    </row>
    <row r="1010" spans="1:9" ht="12.75" customHeight="1" hidden="1">
      <c r="A1010" s="6"/>
      <c r="B1010" s="29">
        <v>2282</v>
      </c>
      <c r="C1010" s="30" t="s">
        <v>61</v>
      </c>
      <c r="D1010" s="372"/>
      <c r="E1010" s="372"/>
      <c r="F1010" s="34"/>
      <c r="G1010" s="34"/>
      <c r="H1010" s="402"/>
      <c r="I1010" s="402"/>
    </row>
    <row r="1011" spans="1:9" ht="12.75" customHeight="1" hidden="1">
      <c r="A1011" s="6"/>
      <c r="B1011" s="27">
        <v>2400</v>
      </c>
      <c r="C1011" s="28" t="s">
        <v>62</v>
      </c>
      <c r="D1011" s="372">
        <f>D1012+D1013</f>
        <v>0</v>
      </c>
      <c r="E1011" s="372">
        <f>E1012+E1013</f>
        <v>0</v>
      </c>
      <c r="F1011" s="34">
        <f>F1012+F1013</f>
        <v>0</v>
      </c>
      <c r="G1011" s="34">
        <f>G1012+G1013</f>
        <v>0</v>
      </c>
      <c r="H1011" s="402"/>
      <c r="I1011" s="402"/>
    </row>
    <row r="1012" spans="1:9" ht="12.75" customHeight="1" hidden="1">
      <c r="A1012" s="6"/>
      <c r="B1012" s="29">
        <v>2410</v>
      </c>
      <c r="C1012" s="30" t="s">
        <v>63</v>
      </c>
      <c r="D1012" s="372"/>
      <c r="E1012" s="372"/>
      <c r="F1012" s="34"/>
      <c r="G1012" s="34"/>
      <c r="H1012" s="402"/>
      <c r="I1012" s="402"/>
    </row>
    <row r="1013" spans="1:9" ht="12.75" customHeight="1" hidden="1">
      <c r="A1013" s="6"/>
      <c r="B1013" s="29">
        <v>2420</v>
      </c>
      <c r="C1013" s="30" t="s">
        <v>64</v>
      </c>
      <c r="D1013" s="372"/>
      <c r="E1013" s="372"/>
      <c r="F1013" s="34"/>
      <c r="G1013" s="34"/>
      <c r="H1013" s="402"/>
      <c r="I1013" s="402"/>
    </row>
    <row r="1014" spans="1:9" ht="27.75" customHeight="1">
      <c r="A1014" s="6"/>
      <c r="B1014" s="27">
        <v>2600</v>
      </c>
      <c r="C1014" s="28" t="s">
        <v>65</v>
      </c>
      <c r="D1014" s="370">
        <f>D1015+D1016+D1017</f>
        <v>9355.84</v>
      </c>
      <c r="E1014" s="370">
        <f>E1015+E1016+E1017</f>
        <v>10813.1</v>
      </c>
      <c r="F1014" s="33">
        <f>F1015+F1016+F1017</f>
        <v>11778.9</v>
      </c>
      <c r="G1014" s="33">
        <f>G1015+G1016+G1017</f>
        <v>532.8</v>
      </c>
      <c r="H1014" s="402"/>
      <c r="I1014" s="402"/>
    </row>
    <row r="1015" spans="1:9" ht="27.75" customHeight="1">
      <c r="A1015" s="6"/>
      <c r="B1015" s="29">
        <v>2610</v>
      </c>
      <c r="C1015" s="30" t="s">
        <v>66</v>
      </c>
      <c r="D1015" s="372">
        <v>9355.84</v>
      </c>
      <c r="E1015" s="372">
        <v>10813.1</v>
      </c>
      <c r="F1015" s="34">
        <v>11778.9</v>
      </c>
      <c r="G1015" s="34">
        <f>245+287.8</f>
        <v>532.8</v>
      </c>
      <c r="H1015" s="402"/>
      <c r="I1015" s="402"/>
    </row>
    <row r="1016" spans="1:9" ht="12.75" customHeight="1" hidden="1">
      <c r="A1016" s="6"/>
      <c r="B1016" s="29">
        <v>2620</v>
      </c>
      <c r="C1016" s="30" t="s">
        <v>67</v>
      </c>
      <c r="D1016" s="372"/>
      <c r="E1016" s="372"/>
      <c r="F1016" s="34"/>
      <c r="G1016" s="34"/>
      <c r="H1016" s="402"/>
      <c r="I1016" s="402"/>
    </row>
    <row r="1017" spans="1:9" ht="12.75" customHeight="1" hidden="1">
      <c r="A1017" s="6"/>
      <c r="B1017" s="29">
        <v>2630</v>
      </c>
      <c r="C1017" s="30" t="s">
        <v>68</v>
      </c>
      <c r="D1017" s="372"/>
      <c r="E1017" s="372"/>
      <c r="F1017" s="34"/>
      <c r="G1017" s="34"/>
      <c r="H1017" s="402"/>
      <c r="I1017" s="402"/>
    </row>
    <row r="1018" spans="1:9" ht="12.75" customHeight="1" hidden="1">
      <c r="A1018" s="6"/>
      <c r="B1018" s="27">
        <v>2700</v>
      </c>
      <c r="C1018" s="28" t="s">
        <v>69</v>
      </c>
      <c r="D1018" s="370">
        <f>D1019+D1020+D1021</f>
        <v>0</v>
      </c>
      <c r="E1018" s="370">
        <f>E1019+E1020+E1021</f>
        <v>0</v>
      </c>
      <c r="F1018" s="33">
        <f>F1019+F1020+F1021</f>
        <v>0</v>
      </c>
      <c r="G1018" s="33">
        <f>G1019+G1020+G1021</f>
        <v>0</v>
      </c>
      <c r="H1018" s="402"/>
      <c r="I1018" s="402"/>
    </row>
    <row r="1019" spans="1:9" ht="12.75" customHeight="1" hidden="1">
      <c r="A1019" s="6"/>
      <c r="B1019" s="29">
        <v>2710</v>
      </c>
      <c r="C1019" s="30" t="s">
        <v>70</v>
      </c>
      <c r="D1019" s="373"/>
      <c r="E1019" s="373"/>
      <c r="F1019" s="42"/>
      <c r="G1019" s="42"/>
      <c r="H1019" s="402"/>
      <c r="I1019" s="402"/>
    </row>
    <row r="1020" spans="1:9" ht="12" customHeight="1" hidden="1">
      <c r="A1020" s="6"/>
      <c r="B1020" s="29">
        <v>2720</v>
      </c>
      <c r="C1020" s="30" t="s">
        <v>71</v>
      </c>
      <c r="D1020" s="373"/>
      <c r="E1020" s="373"/>
      <c r="F1020" s="42"/>
      <c r="G1020" s="42"/>
      <c r="H1020" s="402"/>
      <c r="I1020" s="402"/>
    </row>
    <row r="1021" spans="1:9" ht="12" customHeight="1" hidden="1">
      <c r="A1021" s="6"/>
      <c r="B1021" s="29">
        <v>2730</v>
      </c>
      <c r="C1021" s="30" t="s">
        <v>72</v>
      </c>
      <c r="D1021" s="373"/>
      <c r="E1021" s="373"/>
      <c r="F1021" s="42"/>
      <c r="G1021" s="42"/>
      <c r="H1021" s="402"/>
      <c r="I1021" s="402"/>
    </row>
    <row r="1022" spans="1:9" ht="12.75" customHeight="1" hidden="1">
      <c r="A1022" s="6"/>
      <c r="B1022" s="27">
        <v>2800</v>
      </c>
      <c r="C1022" s="28" t="s">
        <v>73</v>
      </c>
      <c r="D1022" s="373"/>
      <c r="E1022" s="373"/>
      <c r="F1022" s="42"/>
      <c r="G1022" s="42"/>
      <c r="H1022" s="402"/>
      <c r="I1022" s="402"/>
    </row>
    <row r="1023" spans="1:10" s="19" customFormat="1" ht="33.75" customHeight="1">
      <c r="A1023" s="7"/>
      <c r="B1023" s="7"/>
      <c r="C1023" s="20" t="s">
        <v>3</v>
      </c>
      <c r="D1023" s="372">
        <f>D988</f>
        <v>9355.84</v>
      </c>
      <c r="E1023" s="372">
        <f>E988</f>
        <v>10813.1</v>
      </c>
      <c r="F1023" s="34">
        <f>F988</f>
        <v>11778.9</v>
      </c>
      <c r="G1023" s="34">
        <f>G988</f>
        <v>532.8</v>
      </c>
      <c r="H1023" s="402"/>
      <c r="I1023" s="402"/>
      <c r="J1023" s="358">
        <f>G1015+G1110</f>
        <v>1429.7</v>
      </c>
    </row>
    <row r="1024" spans="2:10" s="48" customFormat="1" ht="26.25">
      <c r="B1024" s="46">
        <v>1115033</v>
      </c>
      <c r="C1024" s="46" t="s">
        <v>98</v>
      </c>
      <c r="D1024" s="381">
        <f>D1025+D1060</f>
        <v>19633.82</v>
      </c>
      <c r="E1024" s="381">
        <f>E1025+E1060</f>
        <v>24102.1</v>
      </c>
      <c r="F1024" s="50">
        <f>F1025+F1060</f>
        <v>24605.1</v>
      </c>
      <c r="G1024" s="50">
        <f>G1025+G1060</f>
        <v>1464.6</v>
      </c>
      <c r="H1024" s="402"/>
      <c r="I1024" s="402"/>
      <c r="J1024" s="354"/>
    </row>
    <row r="1025" spans="1:9" ht="12.75">
      <c r="A1025" s="6"/>
      <c r="B1025" s="27">
        <v>2000</v>
      </c>
      <c r="C1025" s="28" t="s">
        <v>37</v>
      </c>
      <c r="D1025" s="370">
        <f>D1026+D1031+D1048+D1051+D1055+D1059</f>
        <v>19209.72</v>
      </c>
      <c r="E1025" s="370">
        <f>E1026+E1031+E1048+E1051+E1055+E1059</f>
        <v>22715.1</v>
      </c>
      <c r="F1025" s="33">
        <f>F1026+F1031+F1048+F1051+F1055+F1059</f>
        <v>24605.1</v>
      </c>
      <c r="G1025" s="33">
        <f>G1026+G1031+G1048+G1051+G1055+G1059</f>
        <v>574.6</v>
      </c>
      <c r="H1025" s="402"/>
      <c r="I1025" s="402"/>
    </row>
    <row r="1026" spans="1:9" ht="12.75" customHeight="1">
      <c r="A1026" s="6"/>
      <c r="B1026" s="29">
        <v>2100</v>
      </c>
      <c r="C1026" s="30" t="s">
        <v>38</v>
      </c>
      <c r="D1026" s="371">
        <f>D1027+D1030</f>
        <v>7218.08</v>
      </c>
      <c r="E1026" s="371">
        <f>E1027+E1030</f>
        <v>8888.8</v>
      </c>
      <c r="F1026" s="35">
        <f>F1027+F1030</f>
        <v>9749.9</v>
      </c>
      <c r="G1026" s="35">
        <f>G1027+G1030</f>
        <v>174.6</v>
      </c>
      <c r="H1026" s="403" t="s">
        <v>597</v>
      </c>
      <c r="I1026" s="404"/>
    </row>
    <row r="1027" spans="1:9" ht="12.75">
      <c r="A1027" s="6"/>
      <c r="B1027" s="29">
        <v>2110</v>
      </c>
      <c r="C1027" s="30" t="s">
        <v>39</v>
      </c>
      <c r="D1027" s="371">
        <f>D1028+D1029</f>
        <v>5914.9</v>
      </c>
      <c r="E1027" s="371">
        <f>E1028+E1029</f>
        <v>7285.9</v>
      </c>
      <c r="F1027" s="35">
        <f>F1028+F1029</f>
        <v>7991.7</v>
      </c>
      <c r="G1027" s="35">
        <f>G1028+G1029</f>
        <v>143.1</v>
      </c>
      <c r="H1027" s="405"/>
      <c r="I1027" s="406"/>
    </row>
    <row r="1028" spans="1:9" ht="12.75">
      <c r="A1028" s="6"/>
      <c r="B1028" s="29">
        <v>2111</v>
      </c>
      <c r="C1028" s="30" t="s">
        <v>42</v>
      </c>
      <c r="D1028" s="372">
        <v>5914.9</v>
      </c>
      <c r="E1028" s="372">
        <v>7285.9</v>
      </c>
      <c r="F1028" s="34">
        <v>7991.7</v>
      </c>
      <c r="G1028" s="34">
        <v>143.1</v>
      </c>
      <c r="H1028" s="405"/>
      <c r="I1028" s="406"/>
    </row>
    <row r="1029" spans="1:9" ht="12.75" customHeight="1" hidden="1">
      <c r="A1029" s="6"/>
      <c r="B1029" s="29">
        <v>2112</v>
      </c>
      <c r="C1029" s="30" t="s">
        <v>43</v>
      </c>
      <c r="D1029" s="372"/>
      <c r="E1029" s="372"/>
      <c r="F1029" s="34">
        <v>0</v>
      </c>
      <c r="G1029" s="34"/>
      <c r="H1029" s="405"/>
      <c r="I1029" s="406"/>
    </row>
    <row r="1030" spans="1:9" ht="12.75">
      <c r="A1030" s="6"/>
      <c r="B1030" s="29">
        <v>2120</v>
      </c>
      <c r="C1030" s="30" t="s">
        <v>44</v>
      </c>
      <c r="D1030" s="372">
        <v>1303.18</v>
      </c>
      <c r="E1030" s="372">
        <v>1602.9</v>
      </c>
      <c r="F1030" s="34">
        <v>1758.2</v>
      </c>
      <c r="G1030" s="34">
        <f>ROUND(G1028*0.22,1)</f>
        <v>31.5</v>
      </c>
      <c r="H1030" s="407"/>
      <c r="I1030" s="408"/>
    </row>
    <row r="1031" spans="1:9" ht="12.75">
      <c r="A1031" s="6"/>
      <c r="B1031" s="27">
        <v>2200</v>
      </c>
      <c r="C1031" s="28" t="s">
        <v>45</v>
      </c>
      <c r="D1031" s="370">
        <f>SUM(D1032:D1038)+D1045</f>
        <v>11991.64</v>
      </c>
      <c r="E1031" s="370">
        <f>SUM(E1032:E1038)+E1045</f>
        <v>13785.800000000001</v>
      </c>
      <c r="F1031" s="33">
        <f>SUM(F1032:F1038)+F1045</f>
        <v>14855.199999999999</v>
      </c>
      <c r="G1031" s="33">
        <f>SUM(G1032:G1038)+G1045</f>
        <v>400</v>
      </c>
      <c r="H1031" s="427"/>
      <c r="I1031" s="427"/>
    </row>
    <row r="1032" spans="1:9" ht="12.75">
      <c r="A1032" s="6"/>
      <c r="B1032" s="29">
        <v>2210</v>
      </c>
      <c r="C1032" s="30" t="s">
        <v>46</v>
      </c>
      <c r="D1032" s="372">
        <v>473.2</v>
      </c>
      <c r="E1032" s="372">
        <v>470</v>
      </c>
      <c r="F1032" s="34">
        <v>499.7</v>
      </c>
      <c r="G1032" s="34"/>
      <c r="H1032" s="427"/>
      <c r="I1032" s="427"/>
    </row>
    <row r="1033" spans="1:9" ht="12.75" customHeight="1">
      <c r="A1033" s="6"/>
      <c r="B1033" s="29">
        <v>2220</v>
      </c>
      <c r="C1033" s="30" t="s">
        <v>47</v>
      </c>
      <c r="D1033" s="372">
        <v>196.5</v>
      </c>
      <c r="E1033" s="372">
        <v>196.5</v>
      </c>
      <c r="F1033" s="34">
        <v>400</v>
      </c>
      <c r="G1033" s="34"/>
      <c r="H1033" s="427"/>
      <c r="I1033" s="427"/>
    </row>
    <row r="1034" spans="1:9" ht="12.75" customHeight="1" hidden="1">
      <c r="A1034" s="6"/>
      <c r="B1034" s="29">
        <v>2230</v>
      </c>
      <c r="C1034" s="30" t="s">
        <v>48</v>
      </c>
      <c r="D1034" s="372"/>
      <c r="E1034" s="372"/>
      <c r="F1034" s="34">
        <v>0</v>
      </c>
      <c r="G1034" s="34"/>
      <c r="H1034" s="427"/>
      <c r="I1034" s="427"/>
    </row>
    <row r="1035" spans="1:9" ht="24.75" customHeight="1">
      <c r="A1035" s="6"/>
      <c r="B1035" s="29">
        <v>2240</v>
      </c>
      <c r="C1035" s="30" t="s">
        <v>49</v>
      </c>
      <c r="D1035" s="372">
        <v>5306.15</v>
      </c>
      <c r="E1035" s="372">
        <v>7183.1</v>
      </c>
      <c r="F1035" s="34">
        <v>7207.5</v>
      </c>
      <c r="G1035" s="34">
        <v>279</v>
      </c>
      <c r="H1035" s="403" t="s">
        <v>596</v>
      </c>
      <c r="I1035" s="404"/>
    </row>
    <row r="1036" spans="1:9" ht="24.75" customHeight="1">
      <c r="A1036" s="6"/>
      <c r="B1036" s="29">
        <v>2250</v>
      </c>
      <c r="C1036" s="30" t="s">
        <v>50</v>
      </c>
      <c r="D1036" s="372">
        <v>5995.5</v>
      </c>
      <c r="E1036" s="372">
        <v>5887.8</v>
      </c>
      <c r="F1036" s="34">
        <v>6674.6</v>
      </c>
      <c r="G1036" s="34">
        <v>121</v>
      </c>
      <c r="H1036" s="407"/>
      <c r="I1036" s="408"/>
    </row>
    <row r="1037" spans="1:9" ht="12.75" customHeight="1" hidden="1">
      <c r="A1037" s="6"/>
      <c r="B1037" s="29">
        <v>2260</v>
      </c>
      <c r="C1037" s="30" t="s">
        <v>51</v>
      </c>
      <c r="D1037" s="372"/>
      <c r="E1037" s="372"/>
      <c r="F1037" s="34"/>
      <c r="G1037" s="34"/>
      <c r="H1037" s="427"/>
      <c r="I1037" s="427"/>
    </row>
    <row r="1038" spans="1:9" ht="12.75">
      <c r="A1038" s="6"/>
      <c r="B1038" s="27">
        <v>2270</v>
      </c>
      <c r="C1038" s="28" t="s">
        <v>52</v>
      </c>
      <c r="D1038" s="370">
        <f>D1039+D1040+D1041+D1042+D1043+D1044</f>
        <v>15.54</v>
      </c>
      <c r="E1038" s="370">
        <f>E1039+E1040+E1041+E1042+E1043+E1044</f>
        <v>44.4</v>
      </c>
      <c r="F1038" s="33">
        <f>F1039+F1040+F1041+F1042+F1043+F1044</f>
        <v>53.400000000000006</v>
      </c>
      <c r="G1038" s="33">
        <f>G1039+G1040+G1041+G1042+G1043+G1044</f>
        <v>0</v>
      </c>
      <c r="H1038" s="427"/>
      <c r="I1038" s="427"/>
    </row>
    <row r="1039" spans="1:9" ht="12.75">
      <c r="A1039" s="6"/>
      <c r="B1039" s="29">
        <v>2271</v>
      </c>
      <c r="C1039" s="30" t="s">
        <v>53</v>
      </c>
      <c r="D1039" s="372">
        <v>5.58</v>
      </c>
      <c r="E1039" s="372">
        <v>22.2</v>
      </c>
      <c r="F1039" s="34">
        <v>26.8</v>
      </c>
      <c r="G1039" s="34"/>
      <c r="H1039" s="427"/>
      <c r="I1039" s="427"/>
    </row>
    <row r="1040" spans="1:9" ht="12.75">
      <c r="A1040" s="6"/>
      <c r="B1040" s="29">
        <v>2272</v>
      </c>
      <c r="C1040" s="30" t="s">
        <v>54</v>
      </c>
      <c r="D1040" s="372">
        <v>0.06</v>
      </c>
      <c r="E1040" s="372">
        <v>0.5</v>
      </c>
      <c r="F1040" s="34">
        <v>4.8</v>
      </c>
      <c r="G1040" s="34"/>
      <c r="H1040" s="427"/>
      <c r="I1040" s="427"/>
    </row>
    <row r="1041" spans="1:9" ht="12.75">
      <c r="A1041" s="6"/>
      <c r="B1041" s="29">
        <v>2273</v>
      </c>
      <c r="C1041" s="30" t="s">
        <v>55</v>
      </c>
      <c r="D1041" s="372">
        <v>9.9</v>
      </c>
      <c r="E1041" s="372">
        <v>21.7</v>
      </c>
      <c r="F1041" s="34">
        <v>21.8</v>
      </c>
      <c r="G1041" s="34"/>
      <c r="H1041" s="427"/>
      <c r="I1041" s="427"/>
    </row>
    <row r="1042" spans="1:9" ht="12.75" customHeight="1" hidden="1">
      <c r="A1042" s="6"/>
      <c r="B1042" s="29">
        <v>2274</v>
      </c>
      <c r="C1042" s="30" t="s">
        <v>56</v>
      </c>
      <c r="D1042" s="372"/>
      <c r="E1042" s="372"/>
      <c r="F1042" s="34"/>
      <c r="G1042" s="34"/>
      <c r="H1042" s="427"/>
      <c r="I1042" s="427"/>
    </row>
    <row r="1043" spans="1:9" ht="12.75" customHeight="1" hidden="1">
      <c r="A1043" s="6"/>
      <c r="B1043" s="29">
        <v>2275</v>
      </c>
      <c r="C1043" s="30" t="s">
        <v>57</v>
      </c>
      <c r="D1043" s="372"/>
      <c r="E1043" s="372"/>
      <c r="F1043" s="34"/>
      <c r="G1043" s="34"/>
      <c r="H1043" s="427"/>
      <c r="I1043" s="427"/>
    </row>
    <row r="1044" spans="1:9" ht="12.75" customHeight="1" hidden="1">
      <c r="A1044" s="6"/>
      <c r="B1044" s="31">
        <v>2276</v>
      </c>
      <c r="C1044" s="32" t="s">
        <v>58</v>
      </c>
      <c r="D1044" s="372"/>
      <c r="E1044" s="372"/>
      <c r="F1044" s="34"/>
      <c r="G1044" s="34"/>
      <c r="H1044" s="427"/>
      <c r="I1044" s="427"/>
    </row>
    <row r="1045" spans="1:9" ht="12.75">
      <c r="A1045" s="6"/>
      <c r="B1045" s="27">
        <v>2280</v>
      </c>
      <c r="C1045" s="28" t="s">
        <v>59</v>
      </c>
      <c r="D1045" s="370">
        <f>D1046+D1047</f>
        <v>4.75</v>
      </c>
      <c r="E1045" s="370">
        <f>E1046+E1047</f>
        <v>4</v>
      </c>
      <c r="F1045" s="33">
        <f>F1046+F1047</f>
        <v>20</v>
      </c>
      <c r="G1045" s="33">
        <f>G1046+G1047</f>
        <v>0</v>
      </c>
      <c r="H1045" s="427"/>
      <c r="I1045" s="427"/>
    </row>
    <row r="1046" spans="1:9" ht="12.75" customHeight="1" hidden="1">
      <c r="A1046" s="6"/>
      <c r="B1046" s="29">
        <v>2281</v>
      </c>
      <c r="C1046" s="30" t="s">
        <v>60</v>
      </c>
      <c r="D1046" s="372"/>
      <c r="E1046" s="372"/>
      <c r="F1046" s="34"/>
      <c r="G1046" s="34"/>
      <c r="H1046" s="427"/>
      <c r="I1046" s="427"/>
    </row>
    <row r="1047" spans="1:9" ht="12.75">
      <c r="A1047" s="6"/>
      <c r="B1047" s="29">
        <v>2282</v>
      </c>
      <c r="C1047" s="30" t="s">
        <v>61</v>
      </c>
      <c r="D1047" s="372">
        <v>4.75</v>
      </c>
      <c r="E1047" s="372">
        <v>4</v>
      </c>
      <c r="F1047" s="34">
        <v>20</v>
      </c>
      <c r="G1047" s="34"/>
      <c r="H1047" s="427"/>
      <c r="I1047" s="427"/>
    </row>
    <row r="1048" spans="1:9" ht="12.75" customHeight="1" hidden="1">
      <c r="A1048" s="6"/>
      <c r="B1048" s="27">
        <v>2400</v>
      </c>
      <c r="C1048" s="28" t="s">
        <v>62</v>
      </c>
      <c r="D1048" s="372">
        <f>D1049+D1050</f>
        <v>0</v>
      </c>
      <c r="E1048" s="372">
        <f>E1049+E1050</f>
        <v>0</v>
      </c>
      <c r="F1048" s="34">
        <f>F1049+F1050</f>
        <v>0</v>
      </c>
      <c r="G1048" s="34">
        <f>G1049+G1050</f>
        <v>0</v>
      </c>
      <c r="H1048" s="427"/>
      <c r="I1048" s="427"/>
    </row>
    <row r="1049" spans="1:9" ht="12.75" customHeight="1" hidden="1">
      <c r="A1049" s="6"/>
      <c r="B1049" s="29">
        <v>2410</v>
      </c>
      <c r="C1049" s="30" t="s">
        <v>63</v>
      </c>
      <c r="D1049" s="372"/>
      <c r="E1049" s="372"/>
      <c r="F1049" s="34"/>
      <c r="G1049" s="34"/>
      <c r="H1049" s="427"/>
      <c r="I1049" s="427"/>
    </row>
    <row r="1050" spans="1:9" ht="12.75" customHeight="1" hidden="1">
      <c r="A1050" s="6"/>
      <c r="B1050" s="29">
        <v>2420</v>
      </c>
      <c r="C1050" s="30" t="s">
        <v>64</v>
      </c>
      <c r="D1050" s="372"/>
      <c r="E1050" s="372"/>
      <c r="F1050" s="34"/>
      <c r="G1050" s="34"/>
      <c r="H1050" s="427"/>
      <c r="I1050" s="427"/>
    </row>
    <row r="1051" spans="1:9" ht="12.75" customHeight="1" hidden="1">
      <c r="A1051" s="6"/>
      <c r="B1051" s="27">
        <v>2600</v>
      </c>
      <c r="C1051" s="28" t="s">
        <v>65</v>
      </c>
      <c r="D1051" s="370">
        <f>D1052+D1053+D1054</f>
        <v>0</v>
      </c>
      <c r="E1051" s="370">
        <f>E1052+E1053+E1054</f>
        <v>0</v>
      </c>
      <c r="F1051" s="33">
        <f>F1052+F1053+F1054</f>
        <v>0</v>
      </c>
      <c r="G1051" s="33">
        <f>G1052+G1053+G1054</f>
        <v>0</v>
      </c>
      <c r="H1051" s="427"/>
      <c r="I1051" s="427"/>
    </row>
    <row r="1052" spans="1:9" ht="12.75" customHeight="1" hidden="1">
      <c r="A1052" s="6"/>
      <c r="B1052" s="29">
        <v>2610</v>
      </c>
      <c r="C1052" s="30" t="s">
        <v>66</v>
      </c>
      <c r="D1052" s="372"/>
      <c r="E1052" s="372"/>
      <c r="F1052" s="34"/>
      <c r="G1052" s="34"/>
      <c r="H1052" s="427"/>
      <c r="I1052" s="427"/>
    </row>
    <row r="1053" spans="1:9" ht="12.75" customHeight="1" hidden="1">
      <c r="A1053" s="6"/>
      <c r="B1053" s="29">
        <v>2620</v>
      </c>
      <c r="C1053" s="30" t="s">
        <v>67</v>
      </c>
      <c r="D1053" s="372"/>
      <c r="E1053" s="372"/>
      <c r="F1053" s="34"/>
      <c r="G1053" s="34"/>
      <c r="H1053" s="427"/>
      <c r="I1053" s="427"/>
    </row>
    <row r="1054" spans="1:9" ht="12.75" customHeight="1" hidden="1">
      <c r="A1054" s="6"/>
      <c r="B1054" s="29">
        <v>2630</v>
      </c>
      <c r="C1054" s="30" t="s">
        <v>68</v>
      </c>
      <c r="D1054" s="372"/>
      <c r="E1054" s="372"/>
      <c r="F1054" s="34"/>
      <c r="G1054" s="34"/>
      <c r="H1054" s="427"/>
      <c r="I1054" s="427"/>
    </row>
    <row r="1055" spans="1:9" ht="12.75" customHeight="1" hidden="1">
      <c r="A1055" s="6"/>
      <c r="B1055" s="27">
        <v>2700</v>
      </c>
      <c r="C1055" s="28" t="s">
        <v>69</v>
      </c>
      <c r="D1055" s="370">
        <f>D1056+D1057+D1058</f>
        <v>0</v>
      </c>
      <c r="E1055" s="370">
        <f>E1056+E1057+E1058</f>
        <v>0</v>
      </c>
      <c r="F1055" s="33">
        <f>F1056+F1057+F1058</f>
        <v>0</v>
      </c>
      <c r="G1055" s="33">
        <f>G1056+G1057+G1058</f>
        <v>0</v>
      </c>
      <c r="H1055" s="427"/>
      <c r="I1055" s="427"/>
    </row>
    <row r="1056" spans="1:9" ht="12.75" customHeight="1" hidden="1">
      <c r="A1056" s="6"/>
      <c r="B1056" s="29">
        <v>2710</v>
      </c>
      <c r="C1056" s="30" t="s">
        <v>70</v>
      </c>
      <c r="D1056" s="373"/>
      <c r="E1056" s="373"/>
      <c r="F1056" s="42"/>
      <c r="G1056" s="42"/>
      <c r="H1056" s="427"/>
      <c r="I1056" s="427"/>
    </row>
    <row r="1057" spans="1:9" ht="12.75" customHeight="1" hidden="1">
      <c r="A1057" s="6"/>
      <c r="B1057" s="29">
        <v>2720</v>
      </c>
      <c r="C1057" s="30" t="s">
        <v>71</v>
      </c>
      <c r="D1057" s="373"/>
      <c r="E1057" s="373"/>
      <c r="F1057" s="34"/>
      <c r="G1057" s="42"/>
      <c r="H1057" s="427"/>
      <c r="I1057" s="427"/>
    </row>
    <row r="1058" spans="1:9" ht="12.75" customHeight="1" hidden="1">
      <c r="A1058" s="6"/>
      <c r="B1058" s="29">
        <v>2730</v>
      </c>
      <c r="C1058" s="30" t="s">
        <v>72</v>
      </c>
      <c r="D1058" s="373"/>
      <c r="E1058" s="373"/>
      <c r="F1058" s="34"/>
      <c r="G1058" s="42"/>
      <c r="H1058" s="427"/>
      <c r="I1058" s="427"/>
    </row>
    <row r="1059" spans="1:9" ht="12.75">
      <c r="A1059" s="6"/>
      <c r="B1059" s="27">
        <v>2800</v>
      </c>
      <c r="C1059" s="28" t="s">
        <v>73</v>
      </c>
      <c r="D1059" s="373"/>
      <c r="E1059" s="372">
        <v>40.5</v>
      </c>
      <c r="F1059" s="34"/>
      <c r="G1059" s="42"/>
      <c r="H1059" s="427"/>
      <c r="I1059" s="427"/>
    </row>
    <row r="1060" spans="1:9" ht="12.75">
      <c r="A1060" s="21"/>
      <c r="B1060" s="27">
        <v>3000</v>
      </c>
      <c r="C1060" s="28" t="s">
        <v>40</v>
      </c>
      <c r="D1060" s="374">
        <f>D1061+D1075</f>
        <v>424.1</v>
      </c>
      <c r="E1060" s="374">
        <f>E1061+E1075</f>
        <v>1387</v>
      </c>
      <c r="F1060" s="40">
        <f>F1061+F1075</f>
        <v>0</v>
      </c>
      <c r="G1060" s="40">
        <f>G1061+G1075</f>
        <v>890</v>
      </c>
      <c r="H1060" s="403" t="s">
        <v>614</v>
      </c>
      <c r="I1060" s="404"/>
    </row>
    <row r="1061" spans="1:9" ht="12.75">
      <c r="A1061" s="21"/>
      <c r="B1061" s="27">
        <v>3100</v>
      </c>
      <c r="C1061" s="28" t="s">
        <v>41</v>
      </c>
      <c r="D1061" s="374">
        <f>D1062+D1063+D1066+D1069+D1073+D1074+D1075</f>
        <v>424.1</v>
      </c>
      <c r="E1061" s="374">
        <f>E1062+E1063+E1066+E1069+E1073+E1074+E1075</f>
        <v>1387</v>
      </c>
      <c r="F1061" s="40">
        <f>F1062+F1063+F1066+F1069+F1073+F1074+F1075</f>
        <v>0</v>
      </c>
      <c r="G1061" s="40">
        <f>G1062+G1063+G1066+G1069+G1073+G1074+G1075</f>
        <v>890</v>
      </c>
      <c r="H1061" s="405"/>
      <c r="I1061" s="406"/>
    </row>
    <row r="1062" spans="1:9" ht="12.75">
      <c r="A1062" s="21"/>
      <c r="B1062" s="29">
        <v>3110</v>
      </c>
      <c r="C1062" s="30" t="s">
        <v>74</v>
      </c>
      <c r="D1062" s="373">
        <v>424.1</v>
      </c>
      <c r="E1062" s="373">
        <v>1387</v>
      </c>
      <c r="F1062" s="41"/>
      <c r="G1062" s="41">
        <f>290+600</f>
        <v>890</v>
      </c>
      <c r="H1062" s="407"/>
      <c r="I1062" s="408"/>
    </row>
    <row r="1063" spans="1:9" ht="12.75" customHeight="1" hidden="1">
      <c r="A1063" s="21"/>
      <c r="B1063" s="29">
        <v>3120</v>
      </c>
      <c r="C1063" s="30" t="s">
        <v>75</v>
      </c>
      <c r="D1063" s="374">
        <f>D1064+D1065</f>
        <v>0</v>
      </c>
      <c r="E1063" s="374">
        <f>E1064+E1065</f>
        <v>0</v>
      </c>
      <c r="F1063" s="40">
        <f>F1064+F1065</f>
        <v>0</v>
      </c>
      <c r="G1063" s="40">
        <f>G1064+G1065</f>
        <v>0</v>
      </c>
      <c r="H1063" s="402"/>
      <c r="I1063" s="402"/>
    </row>
    <row r="1064" spans="1:9" ht="12.75" customHeight="1" hidden="1">
      <c r="A1064" s="21"/>
      <c r="B1064" s="29">
        <v>3121</v>
      </c>
      <c r="C1064" s="30" t="s">
        <v>76</v>
      </c>
      <c r="D1064" s="375"/>
      <c r="E1064" s="375"/>
      <c r="F1064" s="41"/>
      <c r="G1064" s="41"/>
      <c r="H1064" s="402"/>
      <c r="I1064" s="402"/>
    </row>
    <row r="1065" spans="1:9" ht="12.75" customHeight="1" hidden="1">
      <c r="A1065" s="21"/>
      <c r="B1065" s="29">
        <v>3122</v>
      </c>
      <c r="C1065" s="30" t="s">
        <v>77</v>
      </c>
      <c r="D1065" s="375"/>
      <c r="E1065" s="375"/>
      <c r="F1065" s="41"/>
      <c r="G1065" s="41"/>
      <c r="H1065" s="402"/>
      <c r="I1065" s="402"/>
    </row>
    <row r="1066" spans="1:9" ht="12.75" customHeight="1" hidden="1">
      <c r="A1066" s="21"/>
      <c r="B1066" s="29">
        <v>3130</v>
      </c>
      <c r="C1066" s="30" t="s">
        <v>78</v>
      </c>
      <c r="D1066" s="374">
        <f>D1067+D1068</f>
        <v>0</v>
      </c>
      <c r="E1066" s="374">
        <f>E1067+E1068</f>
        <v>0</v>
      </c>
      <c r="F1066" s="40">
        <f>F1067+F1068</f>
        <v>0</v>
      </c>
      <c r="G1066" s="40">
        <f>G1067+G1068</f>
        <v>0</v>
      </c>
      <c r="H1066" s="402"/>
      <c r="I1066" s="402"/>
    </row>
    <row r="1067" spans="1:9" ht="12.75" customHeight="1" hidden="1">
      <c r="A1067" s="21"/>
      <c r="B1067" s="29">
        <v>3131</v>
      </c>
      <c r="C1067" s="30" t="s">
        <v>79</v>
      </c>
      <c r="D1067" s="375"/>
      <c r="E1067" s="375"/>
      <c r="F1067" s="41"/>
      <c r="G1067" s="41"/>
      <c r="H1067" s="402"/>
      <c r="I1067" s="402"/>
    </row>
    <row r="1068" spans="1:9" ht="12.75" customHeight="1" hidden="1">
      <c r="A1068" s="21"/>
      <c r="B1068" s="29">
        <v>3132</v>
      </c>
      <c r="C1068" s="30" t="s">
        <v>80</v>
      </c>
      <c r="D1068" s="375"/>
      <c r="E1068" s="375"/>
      <c r="F1068" s="41"/>
      <c r="G1068" s="41"/>
      <c r="H1068" s="402"/>
      <c r="I1068" s="402"/>
    </row>
    <row r="1069" spans="1:9" ht="12.75" customHeight="1" hidden="1">
      <c r="A1069" s="21"/>
      <c r="B1069" s="29">
        <v>3140</v>
      </c>
      <c r="C1069" s="30" t="s">
        <v>81</v>
      </c>
      <c r="D1069" s="374">
        <f>D1070+D1071+D1072</f>
        <v>0</v>
      </c>
      <c r="E1069" s="374">
        <f>E1070+E1071+E1072</f>
        <v>0</v>
      </c>
      <c r="F1069" s="40">
        <f>F1070+F1071+F1072</f>
        <v>0</v>
      </c>
      <c r="G1069" s="40">
        <f>G1070+G1071+G1072</f>
        <v>0</v>
      </c>
      <c r="H1069" s="402"/>
      <c r="I1069" s="402"/>
    </row>
    <row r="1070" spans="1:9" ht="12.75" customHeight="1" hidden="1">
      <c r="A1070" s="21"/>
      <c r="B1070" s="29">
        <v>3141</v>
      </c>
      <c r="C1070" s="30" t="s">
        <v>82</v>
      </c>
      <c r="D1070" s="375"/>
      <c r="E1070" s="375"/>
      <c r="F1070" s="41"/>
      <c r="G1070" s="41"/>
      <c r="H1070" s="402"/>
      <c r="I1070" s="402"/>
    </row>
    <row r="1071" spans="1:9" ht="12.75" customHeight="1" hidden="1">
      <c r="A1071" s="21"/>
      <c r="B1071" s="29">
        <v>3142</v>
      </c>
      <c r="C1071" s="30" t="s">
        <v>83</v>
      </c>
      <c r="D1071" s="375"/>
      <c r="E1071" s="375"/>
      <c r="F1071" s="41"/>
      <c r="G1071" s="41"/>
      <c r="H1071" s="402"/>
      <c r="I1071" s="402"/>
    </row>
    <row r="1072" spans="1:9" ht="12.75" customHeight="1" hidden="1">
      <c r="A1072" s="21"/>
      <c r="B1072" s="29">
        <v>3143</v>
      </c>
      <c r="C1072" s="30" t="s">
        <v>84</v>
      </c>
      <c r="D1072" s="375"/>
      <c r="E1072" s="375"/>
      <c r="F1072" s="41"/>
      <c r="G1072" s="41"/>
      <c r="H1072" s="402"/>
      <c r="I1072" s="402"/>
    </row>
    <row r="1073" spans="1:9" ht="12.75" customHeight="1" hidden="1">
      <c r="A1073" s="21"/>
      <c r="B1073" s="29">
        <v>3150</v>
      </c>
      <c r="C1073" s="30" t="s">
        <v>85</v>
      </c>
      <c r="D1073" s="375"/>
      <c r="E1073" s="375"/>
      <c r="F1073" s="41"/>
      <c r="G1073" s="41"/>
      <c r="H1073" s="402"/>
      <c r="I1073" s="402"/>
    </row>
    <row r="1074" spans="1:9" ht="12.75" customHeight="1" hidden="1">
      <c r="A1074" s="21"/>
      <c r="B1074" s="29">
        <v>3160</v>
      </c>
      <c r="C1074" s="30" t="s">
        <v>86</v>
      </c>
      <c r="D1074" s="375"/>
      <c r="E1074" s="375"/>
      <c r="F1074" s="41"/>
      <c r="G1074" s="41"/>
      <c r="H1074" s="402"/>
      <c r="I1074" s="402"/>
    </row>
    <row r="1075" spans="1:9" ht="12.75" customHeight="1" hidden="1">
      <c r="A1075" s="21"/>
      <c r="B1075" s="27">
        <v>3200</v>
      </c>
      <c r="C1075" s="28" t="s">
        <v>87</v>
      </c>
      <c r="D1075" s="374">
        <f>D1076+D1077+D1078+D1079</f>
        <v>0</v>
      </c>
      <c r="E1075" s="374">
        <f>E1076+E1077+E1078+E1079</f>
        <v>0</v>
      </c>
      <c r="F1075" s="40">
        <f>F1076+F1077+F1078+F1079</f>
        <v>0</v>
      </c>
      <c r="G1075" s="40">
        <f>G1076+G1077+G1078+G1079</f>
        <v>0</v>
      </c>
      <c r="H1075" s="402"/>
      <c r="I1075" s="402"/>
    </row>
    <row r="1076" spans="1:9" ht="12.75" customHeight="1" hidden="1">
      <c r="A1076" s="21"/>
      <c r="B1076" s="29">
        <v>3210</v>
      </c>
      <c r="C1076" s="30" t="s">
        <v>88</v>
      </c>
      <c r="D1076" s="375"/>
      <c r="E1076" s="375"/>
      <c r="F1076" s="41"/>
      <c r="G1076" s="41"/>
      <c r="H1076" s="402"/>
      <c r="I1076" s="402"/>
    </row>
    <row r="1077" spans="1:9" ht="12.75" customHeight="1" hidden="1">
      <c r="A1077" s="21"/>
      <c r="B1077" s="29">
        <v>3220</v>
      </c>
      <c r="C1077" s="30" t="s">
        <v>89</v>
      </c>
      <c r="D1077" s="375"/>
      <c r="E1077" s="375"/>
      <c r="F1077" s="41"/>
      <c r="G1077" s="41"/>
      <c r="H1077" s="402"/>
      <c r="I1077" s="402"/>
    </row>
    <row r="1078" spans="1:9" ht="12.75" customHeight="1" hidden="1">
      <c r="A1078" s="21"/>
      <c r="B1078" s="29">
        <v>3230</v>
      </c>
      <c r="C1078" s="30" t="s">
        <v>90</v>
      </c>
      <c r="D1078" s="375"/>
      <c r="E1078" s="375"/>
      <c r="F1078" s="41"/>
      <c r="G1078" s="41"/>
      <c r="H1078" s="402"/>
      <c r="I1078" s="402"/>
    </row>
    <row r="1079" spans="1:9" ht="12.75" customHeight="1" hidden="1">
      <c r="A1079" s="21"/>
      <c r="B1079" s="29">
        <v>3240</v>
      </c>
      <c r="C1079" s="30" t="s">
        <v>91</v>
      </c>
      <c r="D1079" s="375"/>
      <c r="E1079" s="375"/>
      <c r="F1079" s="41"/>
      <c r="G1079" s="41"/>
      <c r="H1079" s="402"/>
      <c r="I1079" s="402"/>
    </row>
    <row r="1080" spans="1:10" s="19" customFormat="1" ht="13.5" customHeight="1">
      <c r="A1080" s="7"/>
      <c r="B1080" s="7"/>
      <c r="C1080" s="20" t="s">
        <v>3</v>
      </c>
      <c r="D1080" s="372">
        <f>D1025+D1060</f>
        <v>19633.82</v>
      </c>
      <c r="E1080" s="372">
        <f>E1025+E1060</f>
        <v>24102.1</v>
      </c>
      <c r="F1080" s="34">
        <f>F1025+F1060</f>
        <v>24605.1</v>
      </c>
      <c r="G1080" s="34">
        <f>G1025+G1060</f>
        <v>1464.6</v>
      </c>
      <c r="H1080" s="402"/>
      <c r="I1080" s="402"/>
      <c r="J1080" s="353"/>
    </row>
    <row r="1081" spans="2:10" s="37" customFormat="1" ht="12.75">
      <c r="B1081" s="36">
        <v>1115050</v>
      </c>
      <c r="C1081" s="36" t="s">
        <v>99</v>
      </c>
      <c r="D1081" s="383">
        <f>D1082</f>
        <v>1936.1</v>
      </c>
      <c r="E1081" s="383">
        <f aca="true" t="shared" si="11" ref="E1081:G1082">E1082</f>
        <v>2116.1</v>
      </c>
      <c r="F1081" s="43">
        <f t="shared" si="11"/>
        <v>2324.4</v>
      </c>
      <c r="G1081" s="43">
        <f t="shared" si="11"/>
        <v>896.9000000000001</v>
      </c>
      <c r="H1081" s="402"/>
      <c r="I1081" s="402"/>
      <c r="J1081" s="350"/>
    </row>
    <row r="1082" spans="2:10" s="48" customFormat="1" ht="26.25" customHeight="1">
      <c r="B1082" s="46">
        <v>1115053</v>
      </c>
      <c r="C1082" s="46" t="s">
        <v>100</v>
      </c>
      <c r="D1082" s="384">
        <f>D1083</f>
        <v>1936.1</v>
      </c>
      <c r="E1082" s="384">
        <f t="shared" si="11"/>
        <v>2116.1</v>
      </c>
      <c r="F1082" s="49">
        <f t="shared" si="11"/>
        <v>2324.4</v>
      </c>
      <c r="G1082" s="49">
        <f t="shared" si="11"/>
        <v>896.9000000000001</v>
      </c>
      <c r="H1082" s="409" t="s">
        <v>616</v>
      </c>
      <c r="I1082" s="410"/>
      <c r="J1082" s="354"/>
    </row>
    <row r="1083" spans="1:9" ht="12.75">
      <c r="A1083" s="6"/>
      <c r="B1083" s="27">
        <v>2000</v>
      </c>
      <c r="C1083" s="28" t="s">
        <v>37</v>
      </c>
      <c r="D1083" s="370">
        <f>D1084+D1089+D1106+D1109+D1113+D1117</f>
        <v>1936.1</v>
      </c>
      <c r="E1083" s="370">
        <f>E1084+E1089+E1106+E1109+E1113+E1117</f>
        <v>2116.1</v>
      </c>
      <c r="F1083" s="33">
        <f>F1084+F1089+F1106+F1109+F1113+F1117</f>
        <v>2324.4</v>
      </c>
      <c r="G1083" s="33">
        <f>G1084+G1089+G1106+G1109+G1113+G1117</f>
        <v>896.9000000000001</v>
      </c>
      <c r="H1083" s="411"/>
      <c r="I1083" s="412"/>
    </row>
    <row r="1084" spans="1:9" ht="12.75" customHeight="1" hidden="1">
      <c r="A1084" s="6"/>
      <c r="B1084" s="29">
        <v>2100</v>
      </c>
      <c r="C1084" s="30" t="s">
        <v>38</v>
      </c>
      <c r="D1084" s="371">
        <f>D1085+D1088</f>
        <v>0</v>
      </c>
      <c r="E1084" s="371">
        <f>E1085+E1088</f>
        <v>0</v>
      </c>
      <c r="F1084" s="35">
        <f>F1085+F1088</f>
        <v>0</v>
      </c>
      <c r="G1084" s="35">
        <f>G1085+G1088</f>
        <v>0</v>
      </c>
      <c r="H1084" s="411"/>
      <c r="I1084" s="412"/>
    </row>
    <row r="1085" spans="1:9" ht="12.75" customHeight="1" hidden="1">
      <c r="A1085" s="6"/>
      <c r="B1085" s="29">
        <v>2110</v>
      </c>
      <c r="C1085" s="30" t="s">
        <v>39</v>
      </c>
      <c r="D1085" s="371">
        <f>D1086+D1087</f>
        <v>0</v>
      </c>
      <c r="E1085" s="371">
        <f>E1086+E1087</f>
        <v>0</v>
      </c>
      <c r="F1085" s="35">
        <f>F1086+F1087</f>
        <v>0</v>
      </c>
      <c r="G1085" s="35">
        <f>G1086+G1087</f>
        <v>0</v>
      </c>
      <c r="H1085" s="411"/>
      <c r="I1085" s="412"/>
    </row>
    <row r="1086" spans="1:9" ht="12.75" customHeight="1" hidden="1">
      <c r="A1086" s="6"/>
      <c r="B1086" s="29">
        <v>2111</v>
      </c>
      <c r="C1086" s="30" t="s">
        <v>42</v>
      </c>
      <c r="D1086" s="372"/>
      <c r="E1086" s="372"/>
      <c r="F1086" s="34"/>
      <c r="G1086" s="34"/>
      <c r="H1086" s="411"/>
      <c r="I1086" s="412"/>
    </row>
    <row r="1087" spans="1:9" ht="12.75" customHeight="1" hidden="1">
      <c r="A1087" s="6"/>
      <c r="B1087" s="29">
        <v>2112</v>
      </c>
      <c r="C1087" s="30" t="s">
        <v>43</v>
      </c>
      <c r="D1087" s="372"/>
      <c r="E1087" s="372"/>
      <c r="F1087" s="34"/>
      <c r="G1087" s="34"/>
      <c r="H1087" s="411"/>
      <c r="I1087" s="412"/>
    </row>
    <row r="1088" spans="1:9" ht="12.75" customHeight="1" hidden="1">
      <c r="A1088" s="6"/>
      <c r="B1088" s="29">
        <v>2120</v>
      </c>
      <c r="C1088" s="30" t="s">
        <v>44</v>
      </c>
      <c r="D1088" s="372"/>
      <c r="E1088" s="372"/>
      <c r="F1088" s="34"/>
      <c r="G1088" s="34"/>
      <c r="H1088" s="411"/>
      <c r="I1088" s="412"/>
    </row>
    <row r="1089" spans="1:9" ht="12.75" customHeight="1" hidden="1">
      <c r="A1089" s="6"/>
      <c r="B1089" s="27">
        <v>2200</v>
      </c>
      <c r="C1089" s="28" t="s">
        <v>45</v>
      </c>
      <c r="D1089" s="370">
        <f>SUM(D1090:D1096)+D1103</f>
        <v>0</v>
      </c>
      <c r="E1089" s="370">
        <f>SUM(E1090:E1096)+E1103</f>
        <v>0</v>
      </c>
      <c r="F1089" s="33">
        <f>SUM(F1090:F1096)+F1103</f>
        <v>0</v>
      </c>
      <c r="G1089" s="33">
        <f>SUM(G1090:G1096)+G1103</f>
        <v>0</v>
      </c>
      <c r="H1089" s="411"/>
      <c r="I1089" s="412"/>
    </row>
    <row r="1090" spans="1:9" ht="12.75" customHeight="1" hidden="1">
      <c r="A1090" s="6"/>
      <c r="B1090" s="29">
        <v>2210</v>
      </c>
      <c r="C1090" s="30" t="s">
        <v>46</v>
      </c>
      <c r="D1090" s="372"/>
      <c r="E1090" s="372"/>
      <c r="F1090" s="34"/>
      <c r="G1090" s="34"/>
      <c r="H1090" s="411"/>
      <c r="I1090" s="412"/>
    </row>
    <row r="1091" spans="1:9" ht="12.75" customHeight="1" hidden="1">
      <c r="A1091" s="6"/>
      <c r="B1091" s="29">
        <v>2220</v>
      </c>
      <c r="C1091" s="30" t="s">
        <v>47</v>
      </c>
      <c r="D1091" s="372"/>
      <c r="E1091" s="372"/>
      <c r="F1091" s="34"/>
      <c r="G1091" s="34"/>
      <c r="H1091" s="411"/>
      <c r="I1091" s="412"/>
    </row>
    <row r="1092" spans="1:9" ht="12.75" customHeight="1" hidden="1">
      <c r="A1092" s="6"/>
      <c r="B1092" s="29">
        <v>2230</v>
      </c>
      <c r="C1092" s="30" t="s">
        <v>48</v>
      </c>
      <c r="D1092" s="372"/>
      <c r="E1092" s="372"/>
      <c r="F1092" s="34"/>
      <c r="G1092" s="34"/>
      <c r="H1092" s="411"/>
      <c r="I1092" s="412"/>
    </row>
    <row r="1093" spans="1:9" ht="12.75" customHeight="1" hidden="1">
      <c r="A1093" s="6"/>
      <c r="B1093" s="29">
        <v>2240</v>
      </c>
      <c r="C1093" s="30" t="s">
        <v>49</v>
      </c>
      <c r="D1093" s="372"/>
      <c r="E1093" s="372"/>
      <c r="F1093" s="34"/>
      <c r="G1093" s="34"/>
      <c r="H1093" s="411"/>
      <c r="I1093" s="412"/>
    </row>
    <row r="1094" spans="1:9" ht="12.75" customHeight="1" hidden="1">
      <c r="A1094" s="6"/>
      <c r="B1094" s="29">
        <v>2250</v>
      </c>
      <c r="C1094" s="30" t="s">
        <v>50</v>
      </c>
      <c r="D1094" s="372"/>
      <c r="E1094" s="372"/>
      <c r="F1094" s="34"/>
      <c r="G1094" s="34"/>
      <c r="H1094" s="411"/>
      <c r="I1094" s="412"/>
    </row>
    <row r="1095" spans="1:9" ht="12.75" customHeight="1" hidden="1">
      <c r="A1095" s="6"/>
      <c r="B1095" s="29">
        <v>2260</v>
      </c>
      <c r="C1095" s="30" t="s">
        <v>51</v>
      </c>
      <c r="D1095" s="372"/>
      <c r="E1095" s="372"/>
      <c r="F1095" s="34"/>
      <c r="G1095" s="34"/>
      <c r="H1095" s="411"/>
      <c r="I1095" s="412"/>
    </row>
    <row r="1096" spans="1:9" ht="12.75" customHeight="1" hidden="1">
      <c r="A1096" s="6"/>
      <c r="B1096" s="27">
        <v>2270</v>
      </c>
      <c r="C1096" s="28" t="s">
        <v>52</v>
      </c>
      <c r="D1096" s="370">
        <f>D1097+D1098+D1099+D1100+D1101+D1102</f>
        <v>0</v>
      </c>
      <c r="E1096" s="370">
        <f>E1097+E1098+E1099+E1100+E1101+E1102</f>
        <v>0</v>
      </c>
      <c r="F1096" s="33">
        <f>F1097+F1098+F1099+F1100+F1101+F1102</f>
        <v>0</v>
      </c>
      <c r="G1096" s="33">
        <f>G1097+G1098+G1099+G1100+G1101+G1102</f>
        <v>0</v>
      </c>
      <c r="H1096" s="411"/>
      <c r="I1096" s="412"/>
    </row>
    <row r="1097" spans="1:9" ht="12.75" customHeight="1" hidden="1">
      <c r="A1097" s="6"/>
      <c r="B1097" s="29">
        <v>2271</v>
      </c>
      <c r="C1097" s="30" t="s">
        <v>53</v>
      </c>
      <c r="D1097" s="372"/>
      <c r="E1097" s="372"/>
      <c r="F1097" s="34"/>
      <c r="G1097" s="34"/>
      <c r="H1097" s="411"/>
      <c r="I1097" s="412"/>
    </row>
    <row r="1098" spans="1:9" ht="12.75" customHeight="1" hidden="1">
      <c r="A1098" s="6"/>
      <c r="B1098" s="29">
        <v>2272</v>
      </c>
      <c r="C1098" s="30" t="s">
        <v>54</v>
      </c>
      <c r="D1098" s="372"/>
      <c r="E1098" s="372"/>
      <c r="F1098" s="34"/>
      <c r="G1098" s="34"/>
      <c r="H1098" s="411"/>
      <c r="I1098" s="412"/>
    </row>
    <row r="1099" spans="1:9" ht="12.75" customHeight="1" hidden="1">
      <c r="A1099" s="6"/>
      <c r="B1099" s="29">
        <v>2273</v>
      </c>
      <c r="C1099" s="30" t="s">
        <v>55</v>
      </c>
      <c r="D1099" s="372"/>
      <c r="E1099" s="372"/>
      <c r="F1099" s="34"/>
      <c r="G1099" s="34"/>
      <c r="H1099" s="411"/>
      <c r="I1099" s="412"/>
    </row>
    <row r="1100" spans="1:9" ht="12.75" customHeight="1" hidden="1">
      <c r="A1100" s="6"/>
      <c r="B1100" s="29">
        <v>2274</v>
      </c>
      <c r="C1100" s="30" t="s">
        <v>56</v>
      </c>
      <c r="D1100" s="372"/>
      <c r="E1100" s="372"/>
      <c r="F1100" s="34"/>
      <c r="G1100" s="34"/>
      <c r="H1100" s="411"/>
      <c r="I1100" s="412"/>
    </row>
    <row r="1101" spans="1:9" ht="12.75" customHeight="1" hidden="1">
      <c r="A1101" s="6"/>
      <c r="B1101" s="29">
        <v>2275</v>
      </c>
      <c r="C1101" s="30" t="s">
        <v>57</v>
      </c>
      <c r="D1101" s="372"/>
      <c r="E1101" s="372"/>
      <c r="F1101" s="34"/>
      <c r="G1101" s="34"/>
      <c r="H1101" s="411"/>
      <c r="I1101" s="412"/>
    </row>
    <row r="1102" spans="1:9" ht="12.75" customHeight="1" hidden="1">
      <c r="A1102" s="6"/>
      <c r="B1102" s="31">
        <v>2276</v>
      </c>
      <c r="C1102" s="32" t="s">
        <v>58</v>
      </c>
      <c r="D1102" s="372"/>
      <c r="E1102" s="372"/>
      <c r="F1102" s="34"/>
      <c r="G1102" s="34"/>
      <c r="H1102" s="411"/>
      <c r="I1102" s="412"/>
    </row>
    <row r="1103" spans="1:9" ht="12.75" customHeight="1" hidden="1">
      <c r="A1103" s="6"/>
      <c r="B1103" s="27">
        <v>2280</v>
      </c>
      <c r="C1103" s="28" t="s">
        <v>59</v>
      </c>
      <c r="D1103" s="370">
        <f>D1104+D1105</f>
        <v>0</v>
      </c>
      <c r="E1103" s="370">
        <f>E1104+E1105</f>
        <v>0</v>
      </c>
      <c r="F1103" s="33">
        <f>F1104+F1105</f>
        <v>0</v>
      </c>
      <c r="G1103" s="33">
        <f>G1104+G1105</f>
        <v>0</v>
      </c>
      <c r="H1103" s="411"/>
      <c r="I1103" s="412"/>
    </row>
    <row r="1104" spans="1:9" ht="12.75" customHeight="1" hidden="1">
      <c r="A1104" s="6"/>
      <c r="B1104" s="29">
        <v>2281</v>
      </c>
      <c r="C1104" s="30" t="s">
        <v>60</v>
      </c>
      <c r="D1104" s="372"/>
      <c r="E1104" s="372"/>
      <c r="F1104" s="34"/>
      <c r="G1104" s="34"/>
      <c r="H1104" s="411"/>
      <c r="I1104" s="412"/>
    </row>
    <row r="1105" spans="1:9" ht="12.75" customHeight="1" hidden="1">
      <c r="A1105" s="6"/>
      <c r="B1105" s="29">
        <v>2282</v>
      </c>
      <c r="C1105" s="30" t="s">
        <v>61</v>
      </c>
      <c r="D1105" s="372"/>
      <c r="E1105" s="372"/>
      <c r="F1105" s="34"/>
      <c r="G1105" s="34"/>
      <c r="H1105" s="411"/>
      <c r="I1105" s="412"/>
    </row>
    <row r="1106" spans="1:9" ht="12.75" customHeight="1" hidden="1">
      <c r="A1106" s="6"/>
      <c r="B1106" s="27">
        <v>2400</v>
      </c>
      <c r="C1106" s="28" t="s">
        <v>62</v>
      </c>
      <c r="D1106" s="372">
        <f>D1107+D1108</f>
        <v>0</v>
      </c>
      <c r="E1106" s="372">
        <f>E1107+E1108</f>
        <v>0</v>
      </c>
      <c r="F1106" s="34">
        <f>F1107+F1108</f>
        <v>0</v>
      </c>
      <c r="G1106" s="34">
        <f>G1107+G1108</f>
        <v>0</v>
      </c>
      <c r="H1106" s="411"/>
      <c r="I1106" s="412"/>
    </row>
    <row r="1107" spans="1:9" ht="12.75" customHeight="1" hidden="1">
      <c r="A1107" s="6"/>
      <c r="B1107" s="29">
        <v>2410</v>
      </c>
      <c r="C1107" s="30" t="s">
        <v>63</v>
      </c>
      <c r="D1107" s="372"/>
      <c r="E1107" s="372"/>
      <c r="F1107" s="34"/>
      <c r="G1107" s="34"/>
      <c r="H1107" s="411"/>
      <c r="I1107" s="412"/>
    </row>
    <row r="1108" spans="1:9" ht="12.75" customHeight="1" hidden="1">
      <c r="A1108" s="6"/>
      <c r="B1108" s="29">
        <v>2420</v>
      </c>
      <c r="C1108" s="30" t="s">
        <v>64</v>
      </c>
      <c r="D1108" s="372"/>
      <c r="E1108" s="372"/>
      <c r="F1108" s="34"/>
      <c r="G1108" s="34"/>
      <c r="H1108" s="411"/>
      <c r="I1108" s="412"/>
    </row>
    <row r="1109" spans="1:9" ht="12.75">
      <c r="A1109" s="6"/>
      <c r="B1109" s="27">
        <v>2600</v>
      </c>
      <c r="C1109" s="28" t="s">
        <v>65</v>
      </c>
      <c r="D1109" s="370">
        <f>D1110+D1111+D1112</f>
        <v>1936.1</v>
      </c>
      <c r="E1109" s="370">
        <f>E1110+E1111+E1112</f>
        <v>2116.1</v>
      </c>
      <c r="F1109" s="33">
        <f>F1110+F1111+F1112</f>
        <v>2324.4</v>
      </c>
      <c r="G1109" s="33">
        <f>G1110+G1111+G1112</f>
        <v>896.9000000000001</v>
      </c>
      <c r="H1109" s="411"/>
      <c r="I1109" s="412"/>
    </row>
    <row r="1110" spans="1:9" ht="12.75">
      <c r="A1110" s="6"/>
      <c r="B1110" s="29">
        <v>2610</v>
      </c>
      <c r="C1110" s="30" t="s">
        <v>66</v>
      </c>
      <c r="D1110" s="372">
        <v>1936.1</v>
      </c>
      <c r="E1110" s="372">
        <v>2116.1</v>
      </c>
      <c r="F1110" s="34">
        <v>2324.4</v>
      </c>
      <c r="G1110" s="34">
        <f>965.2-68.3</f>
        <v>896.9000000000001</v>
      </c>
      <c r="H1110" s="411"/>
      <c r="I1110" s="412"/>
    </row>
    <row r="1111" spans="1:9" ht="12.75" customHeight="1" hidden="1">
      <c r="A1111" s="6"/>
      <c r="B1111" s="29">
        <v>2620</v>
      </c>
      <c r="C1111" s="30" t="s">
        <v>67</v>
      </c>
      <c r="D1111" s="372"/>
      <c r="E1111" s="372"/>
      <c r="F1111" s="34"/>
      <c r="G1111" s="34"/>
      <c r="H1111" s="411"/>
      <c r="I1111" s="412"/>
    </row>
    <row r="1112" spans="1:9" ht="12.75" customHeight="1" hidden="1">
      <c r="A1112" s="6"/>
      <c r="B1112" s="29">
        <v>2630</v>
      </c>
      <c r="C1112" s="30" t="s">
        <v>68</v>
      </c>
      <c r="D1112" s="372"/>
      <c r="E1112" s="372"/>
      <c r="F1112" s="34"/>
      <c r="G1112" s="34"/>
      <c r="H1112" s="411"/>
      <c r="I1112" s="412"/>
    </row>
    <row r="1113" spans="1:9" ht="12.75" customHeight="1" hidden="1">
      <c r="A1113" s="6"/>
      <c r="B1113" s="27">
        <v>2700</v>
      </c>
      <c r="C1113" s="28" t="s">
        <v>69</v>
      </c>
      <c r="D1113" s="370">
        <f>D1114+D1115+D1116</f>
        <v>0</v>
      </c>
      <c r="E1113" s="370">
        <f>E1114+E1115+E1116</f>
        <v>0</v>
      </c>
      <c r="F1113" s="33">
        <f>F1114+F1115+F1116</f>
        <v>0</v>
      </c>
      <c r="G1113" s="33">
        <f>G1114+G1115+G1116</f>
        <v>0</v>
      </c>
      <c r="H1113" s="411"/>
      <c r="I1113" s="412"/>
    </row>
    <row r="1114" spans="1:9" ht="12.75" customHeight="1" hidden="1">
      <c r="A1114" s="6"/>
      <c r="B1114" s="29">
        <v>2710</v>
      </c>
      <c r="C1114" s="30" t="s">
        <v>70</v>
      </c>
      <c r="D1114" s="373"/>
      <c r="E1114" s="373"/>
      <c r="F1114" s="42"/>
      <c r="G1114" s="42"/>
      <c r="H1114" s="411"/>
      <c r="I1114" s="412"/>
    </row>
    <row r="1115" spans="1:9" ht="12.75" customHeight="1" hidden="1">
      <c r="A1115" s="6"/>
      <c r="B1115" s="29">
        <v>2720</v>
      </c>
      <c r="C1115" s="30" t="s">
        <v>71</v>
      </c>
      <c r="D1115" s="373"/>
      <c r="E1115" s="373"/>
      <c r="F1115" s="42"/>
      <c r="G1115" s="42"/>
      <c r="H1115" s="411"/>
      <c r="I1115" s="412"/>
    </row>
    <row r="1116" spans="1:9" ht="12.75" customHeight="1" hidden="1">
      <c r="A1116" s="6"/>
      <c r="B1116" s="29">
        <v>2730</v>
      </c>
      <c r="C1116" s="30" t="s">
        <v>72</v>
      </c>
      <c r="D1116" s="373"/>
      <c r="E1116" s="373"/>
      <c r="F1116" s="42"/>
      <c r="G1116" s="42"/>
      <c r="H1116" s="411"/>
      <c r="I1116" s="412"/>
    </row>
    <row r="1117" spans="1:9" ht="12.75" customHeight="1" hidden="1">
      <c r="A1117" s="6"/>
      <c r="B1117" s="27">
        <v>2800</v>
      </c>
      <c r="C1117" s="28" t="s">
        <v>73</v>
      </c>
      <c r="D1117" s="373"/>
      <c r="E1117" s="373"/>
      <c r="F1117" s="42"/>
      <c r="G1117" s="42"/>
      <c r="H1117" s="411"/>
      <c r="I1117" s="412"/>
    </row>
    <row r="1118" spans="1:10" s="19" customFormat="1" ht="12.75">
      <c r="A1118" s="7"/>
      <c r="B1118" s="7"/>
      <c r="C1118" s="20" t="s">
        <v>3</v>
      </c>
      <c r="D1118" s="372">
        <f>D1083</f>
        <v>1936.1</v>
      </c>
      <c r="E1118" s="372">
        <f>E1083</f>
        <v>2116.1</v>
      </c>
      <c r="F1118" s="34">
        <f>F1083</f>
        <v>2324.4</v>
      </c>
      <c r="G1118" s="34">
        <f>G1083</f>
        <v>896.9000000000001</v>
      </c>
      <c r="H1118" s="411"/>
      <c r="I1118" s="412"/>
      <c r="J1118" s="353"/>
    </row>
    <row r="1119" spans="2:10" s="37" customFormat="1" ht="12.75">
      <c r="B1119" s="36">
        <v>1115060</v>
      </c>
      <c r="C1119" s="36" t="s">
        <v>101</v>
      </c>
      <c r="D1119" s="383">
        <f>D1120+D1177</f>
        <v>90991.17000000001</v>
      </c>
      <c r="E1119" s="383">
        <f>E1120+E1177</f>
        <v>14410.7</v>
      </c>
      <c r="F1119" s="43">
        <f>F1120+F1177</f>
        <v>13404</v>
      </c>
      <c r="G1119" s="43">
        <f>G1120+G1177</f>
        <v>1344</v>
      </c>
      <c r="H1119" s="402"/>
      <c r="I1119" s="402"/>
      <c r="J1119" s="350"/>
    </row>
    <row r="1120" spans="2:10" s="48" customFormat="1" ht="26.25">
      <c r="B1120" s="46">
        <v>1115061</v>
      </c>
      <c r="C1120" s="46" t="s">
        <v>102</v>
      </c>
      <c r="D1120" s="384">
        <f>D1121+D1156</f>
        <v>1664.3500000000001</v>
      </c>
      <c r="E1120" s="384">
        <f>E1121+E1156</f>
        <v>2030.1999999999998</v>
      </c>
      <c r="F1120" s="49">
        <f>F1121+F1156</f>
        <v>2144</v>
      </c>
      <c r="G1120" s="49">
        <f>G1121+G1156</f>
        <v>295.7</v>
      </c>
      <c r="H1120" s="402"/>
      <c r="I1120" s="402"/>
      <c r="J1120" s="354"/>
    </row>
    <row r="1121" spans="1:9" ht="12.75">
      <c r="A1121" s="6"/>
      <c r="B1121" s="27">
        <v>2000</v>
      </c>
      <c r="C1121" s="28" t="s">
        <v>37</v>
      </c>
      <c r="D1121" s="370">
        <f>D1122+D1127+D1144+D1147+D1151+D1155</f>
        <v>1664.3500000000001</v>
      </c>
      <c r="E1121" s="370">
        <f>E1122+E1127+E1144+E1147+E1151+E1155</f>
        <v>1975.1999999999998</v>
      </c>
      <c r="F1121" s="33">
        <f>F1122+F1127+F1144+F1147+F1151+F1155</f>
        <v>2144</v>
      </c>
      <c r="G1121" s="33">
        <f>G1122+G1127+G1144+G1147+G1151+G1155</f>
        <v>295.7</v>
      </c>
      <c r="H1121" s="402"/>
      <c r="I1121" s="402"/>
    </row>
    <row r="1122" spans="1:9" ht="12.75" customHeight="1">
      <c r="A1122" s="6"/>
      <c r="B1122" s="29">
        <v>2100</v>
      </c>
      <c r="C1122" s="30" t="s">
        <v>38</v>
      </c>
      <c r="D1122" s="371">
        <f>D1123+D1126</f>
        <v>1254.4</v>
      </c>
      <c r="E1122" s="371">
        <f>E1123+E1126</f>
        <v>1378.3</v>
      </c>
      <c r="F1122" s="35">
        <f>F1123+F1126</f>
        <v>1502.3000000000002</v>
      </c>
      <c r="G1122" s="35">
        <f>G1123+G1126</f>
        <v>22.700000000000003</v>
      </c>
      <c r="H1122" s="403" t="s">
        <v>600</v>
      </c>
      <c r="I1122" s="404"/>
    </row>
    <row r="1123" spans="1:9" ht="12.75">
      <c r="A1123" s="6"/>
      <c r="B1123" s="29">
        <v>2110</v>
      </c>
      <c r="C1123" s="30" t="s">
        <v>39</v>
      </c>
      <c r="D1123" s="371">
        <f>D1124+D1125</f>
        <v>1038.4</v>
      </c>
      <c r="E1123" s="371">
        <f>E1124+E1125</f>
        <v>1129.7</v>
      </c>
      <c r="F1123" s="35">
        <f>F1124+F1125</f>
        <v>1231.4</v>
      </c>
      <c r="G1123" s="35">
        <f>G1124+G1125</f>
        <v>18.6</v>
      </c>
      <c r="H1123" s="405"/>
      <c r="I1123" s="406"/>
    </row>
    <row r="1124" spans="1:9" ht="12.75">
      <c r="A1124" s="6"/>
      <c r="B1124" s="29">
        <v>2111</v>
      </c>
      <c r="C1124" s="30" t="s">
        <v>42</v>
      </c>
      <c r="D1124" s="372">
        <v>1038.4</v>
      </c>
      <c r="E1124" s="372">
        <v>1129.7</v>
      </c>
      <c r="F1124" s="34">
        <v>1231.4</v>
      </c>
      <c r="G1124" s="34">
        <v>18.6</v>
      </c>
      <c r="H1124" s="405"/>
      <c r="I1124" s="406"/>
    </row>
    <row r="1125" spans="1:9" ht="12.75" customHeight="1" hidden="1">
      <c r="A1125" s="6"/>
      <c r="B1125" s="29">
        <v>2112</v>
      </c>
      <c r="C1125" s="30" t="s">
        <v>43</v>
      </c>
      <c r="D1125" s="372"/>
      <c r="E1125" s="372"/>
      <c r="F1125" s="34">
        <v>0</v>
      </c>
      <c r="G1125" s="34"/>
      <c r="H1125" s="405"/>
      <c r="I1125" s="406"/>
    </row>
    <row r="1126" spans="1:9" ht="12.75">
      <c r="A1126" s="6"/>
      <c r="B1126" s="29">
        <v>2120</v>
      </c>
      <c r="C1126" s="30" t="s">
        <v>44</v>
      </c>
      <c r="D1126" s="372">
        <v>216</v>
      </c>
      <c r="E1126" s="372">
        <v>248.6</v>
      </c>
      <c r="F1126" s="34">
        <v>270.9</v>
      </c>
      <c r="G1126" s="34">
        <f>ROUND(G1124*0.22,1)</f>
        <v>4.1</v>
      </c>
      <c r="H1126" s="407"/>
      <c r="I1126" s="408"/>
    </row>
    <row r="1127" spans="1:9" ht="12.75">
      <c r="A1127" s="6"/>
      <c r="B1127" s="27">
        <v>2200</v>
      </c>
      <c r="C1127" s="28" t="s">
        <v>45</v>
      </c>
      <c r="D1127" s="370">
        <f>SUM(D1128:D1134)+D1141</f>
        <v>409.95000000000005</v>
      </c>
      <c r="E1127" s="370">
        <f>SUM(E1128:E1134)+E1141</f>
        <v>596.9</v>
      </c>
      <c r="F1127" s="33">
        <f>SUM(F1128:F1134)+F1141</f>
        <v>641.7</v>
      </c>
      <c r="G1127" s="33">
        <f>SUM(G1128:G1134)+G1141</f>
        <v>273</v>
      </c>
      <c r="H1127" s="402"/>
      <c r="I1127" s="402"/>
    </row>
    <row r="1128" spans="1:9" ht="12.75">
      <c r="A1128" s="6"/>
      <c r="B1128" s="29">
        <v>2210</v>
      </c>
      <c r="C1128" s="30" t="s">
        <v>46</v>
      </c>
      <c r="D1128" s="372">
        <v>153.9</v>
      </c>
      <c r="E1128" s="372">
        <v>209.4</v>
      </c>
      <c r="F1128" s="34">
        <v>204.3</v>
      </c>
      <c r="G1128" s="34">
        <v>33</v>
      </c>
      <c r="H1128" s="402" t="s">
        <v>601</v>
      </c>
      <c r="I1128" s="402"/>
    </row>
    <row r="1129" spans="1:9" ht="12.75">
      <c r="A1129" s="6"/>
      <c r="B1129" s="29">
        <v>2220</v>
      </c>
      <c r="C1129" s="30" t="s">
        <v>47</v>
      </c>
      <c r="D1129" s="372">
        <v>8.5</v>
      </c>
      <c r="E1129" s="372">
        <v>9.5</v>
      </c>
      <c r="F1129" s="34">
        <v>6.9</v>
      </c>
      <c r="G1129" s="34"/>
      <c r="H1129" s="402"/>
      <c r="I1129" s="402"/>
    </row>
    <row r="1130" spans="1:9" ht="12.75" customHeight="1" hidden="1">
      <c r="A1130" s="6"/>
      <c r="B1130" s="29">
        <v>2230</v>
      </c>
      <c r="C1130" s="30" t="s">
        <v>48</v>
      </c>
      <c r="D1130" s="372"/>
      <c r="E1130" s="372"/>
      <c r="F1130" s="34">
        <v>0</v>
      </c>
      <c r="G1130" s="34"/>
      <c r="H1130" s="402"/>
      <c r="I1130" s="402"/>
    </row>
    <row r="1131" spans="1:9" ht="24.75" customHeight="1">
      <c r="A1131" s="6"/>
      <c r="B1131" s="29">
        <v>2240</v>
      </c>
      <c r="C1131" s="30" t="s">
        <v>49</v>
      </c>
      <c r="D1131" s="372">
        <v>168.9</v>
      </c>
      <c r="E1131" s="372">
        <v>246.7</v>
      </c>
      <c r="F1131" s="34">
        <v>215.8</v>
      </c>
      <c r="G1131" s="34">
        <v>212</v>
      </c>
      <c r="H1131" s="403" t="s">
        <v>596</v>
      </c>
      <c r="I1131" s="404"/>
    </row>
    <row r="1132" spans="1:9" ht="24.75" customHeight="1">
      <c r="A1132" s="6"/>
      <c r="B1132" s="29">
        <v>2250</v>
      </c>
      <c r="C1132" s="30" t="s">
        <v>50</v>
      </c>
      <c r="D1132" s="372">
        <v>53.87</v>
      </c>
      <c r="E1132" s="372">
        <v>90</v>
      </c>
      <c r="F1132" s="34">
        <v>169.7</v>
      </c>
      <c r="G1132" s="34">
        <v>28</v>
      </c>
      <c r="H1132" s="407"/>
      <c r="I1132" s="408"/>
    </row>
    <row r="1133" spans="1:9" ht="12.75" customHeight="1" hidden="1">
      <c r="A1133" s="6"/>
      <c r="B1133" s="29">
        <v>2260</v>
      </c>
      <c r="C1133" s="30" t="s">
        <v>51</v>
      </c>
      <c r="D1133" s="372"/>
      <c r="E1133" s="372"/>
      <c r="F1133" s="34"/>
      <c r="G1133" s="34"/>
      <c r="H1133" s="402"/>
      <c r="I1133" s="402"/>
    </row>
    <row r="1134" spans="1:9" ht="12.75">
      <c r="A1134" s="6"/>
      <c r="B1134" s="27">
        <v>2270</v>
      </c>
      <c r="C1134" s="28" t="s">
        <v>52</v>
      </c>
      <c r="D1134" s="370">
        <f>D1135+D1136+D1137+D1138+D1139+D1140</f>
        <v>24.78</v>
      </c>
      <c r="E1134" s="370">
        <f>E1135+E1136+E1137+E1138+E1139+E1140</f>
        <v>41.300000000000004</v>
      </c>
      <c r="F1134" s="33">
        <f>F1135+F1136+F1137+F1138+F1139+F1140</f>
        <v>45</v>
      </c>
      <c r="G1134" s="33">
        <f>G1135+G1136+G1137+G1138+G1139+G1140</f>
        <v>0</v>
      </c>
      <c r="H1134" s="402"/>
      <c r="I1134" s="402"/>
    </row>
    <row r="1135" spans="1:9" ht="12.75">
      <c r="A1135" s="6"/>
      <c r="B1135" s="29">
        <v>2271</v>
      </c>
      <c r="C1135" s="30" t="s">
        <v>53</v>
      </c>
      <c r="D1135" s="372">
        <v>22</v>
      </c>
      <c r="E1135" s="372">
        <v>31.3</v>
      </c>
      <c r="F1135" s="34">
        <v>34.3</v>
      </c>
      <c r="G1135" s="34"/>
      <c r="H1135" s="402"/>
      <c r="I1135" s="402"/>
    </row>
    <row r="1136" spans="1:9" ht="12.75">
      <c r="A1136" s="6"/>
      <c r="B1136" s="29">
        <v>2272</v>
      </c>
      <c r="C1136" s="30" t="s">
        <v>54</v>
      </c>
      <c r="D1136" s="372"/>
      <c r="E1136" s="372">
        <v>4.8</v>
      </c>
      <c r="F1136" s="34">
        <v>5.2</v>
      </c>
      <c r="G1136" s="34"/>
      <c r="H1136" s="402"/>
      <c r="I1136" s="402"/>
    </row>
    <row r="1137" spans="1:9" ht="12.75">
      <c r="A1137" s="6"/>
      <c r="B1137" s="29">
        <v>2273</v>
      </c>
      <c r="C1137" s="30" t="s">
        <v>55</v>
      </c>
      <c r="D1137" s="372">
        <v>2.78</v>
      </c>
      <c r="E1137" s="372">
        <v>5.2</v>
      </c>
      <c r="F1137" s="34">
        <v>5.5</v>
      </c>
      <c r="G1137" s="34"/>
      <c r="H1137" s="402"/>
      <c r="I1137" s="402"/>
    </row>
    <row r="1138" spans="1:9" ht="12.75" customHeight="1" hidden="1">
      <c r="A1138" s="6"/>
      <c r="B1138" s="29">
        <v>2274</v>
      </c>
      <c r="C1138" s="30" t="s">
        <v>56</v>
      </c>
      <c r="D1138" s="372"/>
      <c r="E1138" s="372"/>
      <c r="F1138" s="34"/>
      <c r="G1138" s="34"/>
      <c r="H1138" s="402"/>
      <c r="I1138" s="402"/>
    </row>
    <row r="1139" spans="1:9" ht="12.75" customHeight="1" hidden="1">
      <c r="A1139" s="6"/>
      <c r="B1139" s="29">
        <v>2275</v>
      </c>
      <c r="C1139" s="30" t="s">
        <v>57</v>
      </c>
      <c r="D1139" s="372"/>
      <c r="E1139" s="372"/>
      <c r="F1139" s="34"/>
      <c r="G1139" s="34"/>
      <c r="H1139" s="402"/>
      <c r="I1139" s="402"/>
    </row>
    <row r="1140" spans="1:9" ht="12.75" customHeight="1" hidden="1">
      <c r="A1140" s="6"/>
      <c r="B1140" s="31">
        <v>2276</v>
      </c>
      <c r="C1140" s="32" t="s">
        <v>58</v>
      </c>
      <c r="D1140" s="372"/>
      <c r="E1140" s="372"/>
      <c r="F1140" s="34"/>
      <c r="G1140" s="34"/>
      <c r="H1140" s="402"/>
      <c r="I1140" s="402"/>
    </row>
    <row r="1141" spans="1:9" ht="12.75" hidden="1">
      <c r="A1141" s="6"/>
      <c r="B1141" s="27">
        <v>2280</v>
      </c>
      <c r="C1141" s="28" t="s">
        <v>59</v>
      </c>
      <c r="D1141" s="370">
        <f>D1142+D1143</f>
        <v>0</v>
      </c>
      <c r="E1141" s="370">
        <f>E1142+E1143</f>
        <v>0</v>
      </c>
      <c r="F1141" s="33">
        <f>F1142+F1143</f>
        <v>0</v>
      </c>
      <c r="G1141" s="33">
        <f>G1142+G1143</f>
        <v>0</v>
      </c>
      <c r="H1141" s="402"/>
      <c r="I1141" s="402"/>
    </row>
    <row r="1142" spans="1:9" ht="12.75" customHeight="1" hidden="1">
      <c r="A1142" s="6"/>
      <c r="B1142" s="29">
        <v>2281</v>
      </c>
      <c r="C1142" s="30" t="s">
        <v>60</v>
      </c>
      <c r="D1142" s="372"/>
      <c r="E1142" s="372"/>
      <c r="F1142" s="34"/>
      <c r="G1142" s="34"/>
      <c r="H1142" s="402"/>
      <c r="I1142" s="402"/>
    </row>
    <row r="1143" spans="1:9" ht="12.75" hidden="1">
      <c r="A1143" s="6"/>
      <c r="B1143" s="29">
        <v>2282</v>
      </c>
      <c r="C1143" s="30" t="s">
        <v>61</v>
      </c>
      <c r="D1143" s="372"/>
      <c r="E1143" s="372"/>
      <c r="F1143" s="34"/>
      <c r="G1143" s="34"/>
      <c r="H1143" s="402"/>
      <c r="I1143" s="402"/>
    </row>
    <row r="1144" spans="1:9" ht="12.75" customHeight="1" hidden="1">
      <c r="A1144" s="6"/>
      <c r="B1144" s="27">
        <v>2400</v>
      </c>
      <c r="C1144" s="28" t="s">
        <v>62</v>
      </c>
      <c r="D1144" s="372">
        <f>D1145+D1146</f>
        <v>0</v>
      </c>
      <c r="E1144" s="372">
        <f>E1145+E1146</f>
        <v>0</v>
      </c>
      <c r="F1144" s="34">
        <f>F1145+F1146</f>
        <v>0</v>
      </c>
      <c r="G1144" s="34">
        <f>G1145+G1146</f>
        <v>0</v>
      </c>
      <c r="H1144" s="402"/>
      <c r="I1144" s="402"/>
    </row>
    <row r="1145" spans="1:9" ht="12.75" customHeight="1" hidden="1">
      <c r="A1145" s="6"/>
      <c r="B1145" s="29">
        <v>2410</v>
      </c>
      <c r="C1145" s="30" t="s">
        <v>63</v>
      </c>
      <c r="D1145" s="372"/>
      <c r="E1145" s="372"/>
      <c r="F1145" s="34"/>
      <c r="G1145" s="34"/>
      <c r="H1145" s="402"/>
      <c r="I1145" s="402"/>
    </row>
    <row r="1146" spans="1:9" ht="12.75" customHeight="1" hidden="1">
      <c r="A1146" s="6"/>
      <c r="B1146" s="29">
        <v>2420</v>
      </c>
      <c r="C1146" s="30" t="s">
        <v>64</v>
      </c>
      <c r="D1146" s="372"/>
      <c r="E1146" s="372"/>
      <c r="F1146" s="34"/>
      <c r="G1146" s="34"/>
      <c r="H1146" s="402"/>
      <c r="I1146" s="402"/>
    </row>
    <row r="1147" spans="1:9" ht="12.75" customHeight="1" hidden="1">
      <c r="A1147" s="6"/>
      <c r="B1147" s="27">
        <v>2600</v>
      </c>
      <c r="C1147" s="28" t="s">
        <v>65</v>
      </c>
      <c r="D1147" s="370">
        <f>D1148+D1149+D1150</f>
        <v>0</v>
      </c>
      <c r="E1147" s="370">
        <f>E1148+E1149+E1150</f>
        <v>0</v>
      </c>
      <c r="F1147" s="33">
        <f>F1148+F1149+F1150</f>
        <v>0</v>
      </c>
      <c r="G1147" s="33">
        <f>G1148+G1149+G1150</f>
        <v>0</v>
      </c>
      <c r="H1147" s="402"/>
      <c r="I1147" s="402"/>
    </row>
    <row r="1148" spans="1:9" ht="12.75" customHeight="1" hidden="1">
      <c r="A1148" s="6"/>
      <c r="B1148" s="29">
        <v>2610</v>
      </c>
      <c r="C1148" s="30" t="s">
        <v>66</v>
      </c>
      <c r="D1148" s="372"/>
      <c r="E1148" s="372"/>
      <c r="F1148" s="34"/>
      <c r="G1148" s="34"/>
      <c r="H1148" s="402"/>
      <c r="I1148" s="402"/>
    </row>
    <row r="1149" spans="1:9" ht="12.75" customHeight="1" hidden="1">
      <c r="A1149" s="6"/>
      <c r="B1149" s="29">
        <v>2620</v>
      </c>
      <c r="C1149" s="30" t="s">
        <v>67</v>
      </c>
      <c r="D1149" s="372"/>
      <c r="E1149" s="372"/>
      <c r="F1149" s="34"/>
      <c r="G1149" s="34"/>
      <c r="H1149" s="402"/>
      <c r="I1149" s="402"/>
    </row>
    <row r="1150" spans="1:9" ht="12.75" customHeight="1" hidden="1">
      <c r="A1150" s="6"/>
      <c r="B1150" s="29">
        <v>2630</v>
      </c>
      <c r="C1150" s="30" t="s">
        <v>68</v>
      </c>
      <c r="D1150" s="372"/>
      <c r="E1150" s="372"/>
      <c r="F1150" s="34"/>
      <c r="G1150" s="34"/>
      <c r="H1150" s="402"/>
      <c r="I1150" s="402"/>
    </row>
    <row r="1151" spans="1:9" ht="12.75" customHeight="1" hidden="1">
      <c r="A1151" s="6"/>
      <c r="B1151" s="27">
        <v>2700</v>
      </c>
      <c r="C1151" s="28" t="s">
        <v>69</v>
      </c>
      <c r="D1151" s="370">
        <f>D1152+D1153+D1154</f>
        <v>0</v>
      </c>
      <c r="E1151" s="370">
        <f>E1152+E1153+E1154</f>
        <v>0</v>
      </c>
      <c r="F1151" s="33">
        <f>F1152+F1153+F1154</f>
        <v>0</v>
      </c>
      <c r="G1151" s="33">
        <f>G1152+G1153+G1154</f>
        <v>0</v>
      </c>
      <c r="H1151" s="402"/>
      <c r="I1151" s="402"/>
    </row>
    <row r="1152" spans="1:9" ht="12.75" customHeight="1" hidden="1">
      <c r="A1152" s="6"/>
      <c r="B1152" s="29">
        <v>2710</v>
      </c>
      <c r="C1152" s="30" t="s">
        <v>70</v>
      </c>
      <c r="D1152" s="373"/>
      <c r="E1152" s="373"/>
      <c r="F1152" s="34"/>
      <c r="G1152" s="42"/>
      <c r="H1152" s="402"/>
      <c r="I1152" s="402"/>
    </row>
    <row r="1153" spans="1:9" ht="12.75" customHeight="1" hidden="1">
      <c r="A1153" s="6"/>
      <c r="B1153" s="29">
        <v>2720</v>
      </c>
      <c r="C1153" s="30" t="s">
        <v>71</v>
      </c>
      <c r="D1153" s="373"/>
      <c r="E1153" s="373"/>
      <c r="F1153" s="34"/>
      <c r="G1153" s="42"/>
      <c r="H1153" s="402"/>
      <c r="I1153" s="402"/>
    </row>
    <row r="1154" spans="1:9" ht="12.75" customHeight="1" hidden="1">
      <c r="A1154" s="6"/>
      <c r="B1154" s="29">
        <v>2730</v>
      </c>
      <c r="C1154" s="30" t="s">
        <v>72</v>
      </c>
      <c r="D1154" s="373"/>
      <c r="E1154" s="373"/>
      <c r="F1154" s="34"/>
      <c r="G1154" s="42"/>
      <c r="H1154" s="402"/>
      <c r="I1154" s="402"/>
    </row>
    <row r="1155" spans="1:9" ht="12.75" hidden="1">
      <c r="A1155" s="6"/>
      <c r="B1155" s="27">
        <v>2800</v>
      </c>
      <c r="C1155" s="28" t="s">
        <v>73</v>
      </c>
      <c r="D1155" s="373"/>
      <c r="E1155" s="373"/>
      <c r="F1155" s="34"/>
      <c r="G1155" s="42"/>
      <c r="H1155" s="402"/>
      <c r="I1155" s="402"/>
    </row>
    <row r="1156" spans="1:9" ht="12.75">
      <c r="A1156" s="21"/>
      <c r="B1156" s="27">
        <v>3000</v>
      </c>
      <c r="C1156" s="28" t="s">
        <v>40</v>
      </c>
      <c r="D1156" s="374">
        <f>D1157+D1171</f>
        <v>0</v>
      </c>
      <c r="E1156" s="374">
        <f>E1157+E1171</f>
        <v>55</v>
      </c>
      <c r="F1156" s="40">
        <f>F1157+F1171</f>
        <v>0</v>
      </c>
      <c r="G1156" s="40">
        <f>G1157+G1171</f>
        <v>0</v>
      </c>
      <c r="H1156" s="402"/>
      <c r="I1156" s="402"/>
    </row>
    <row r="1157" spans="1:9" ht="12.75">
      <c r="A1157" s="21"/>
      <c r="B1157" s="27">
        <v>3100</v>
      </c>
      <c r="C1157" s="28" t="s">
        <v>41</v>
      </c>
      <c r="D1157" s="374">
        <f>D1158+D1159+D1162+D1165+D1169+D1170+D1171</f>
        <v>0</v>
      </c>
      <c r="E1157" s="374">
        <f>E1158+E1159+E1162+E1165+E1169+E1170+E1171</f>
        <v>55</v>
      </c>
      <c r="F1157" s="40">
        <f>F1158+F1159+F1162+F1165+F1169+F1170+F1171</f>
        <v>0</v>
      </c>
      <c r="G1157" s="40">
        <f>G1158+G1159+G1162+G1165+G1169+G1170+G1171</f>
        <v>0</v>
      </c>
      <c r="H1157" s="402"/>
      <c r="I1157" s="402"/>
    </row>
    <row r="1158" spans="1:9" ht="12.75">
      <c r="A1158" s="21"/>
      <c r="B1158" s="29">
        <v>3110</v>
      </c>
      <c r="C1158" s="30" t="s">
        <v>74</v>
      </c>
      <c r="D1158" s="373">
        <v>0</v>
      </c>
      <c r="E1158" s="373">
        <v>55</v>
      </c>
      <c r="F1158" s="41"/>
      <c r="G1158" s="41"/>
      <c r="H1158" s="402"/>
      <c r="I1158" s="402"/>
    </row>
    <row r="1159" spans="1:9" ht="12.75" customHeight="1" hidden="1">
      <c r="A1159" s="21"/>
      <c r="B1159" s="29">
        <v>3120</v>
      </c>
      <c r="C1159" s="30" t="s">
        <v>75</v>
      </c>
      <c r="D1159" s="374">
        <f>D1160+D1161</f>
        <v>0</v>
      </c>
      <c r="E1159" s="374">
        <f>E1160+E1161</f>
        <v>0</v>
      </c>
      <c r="F1159" s="40">
        <f>F1160+F1161</f>
        <v>0</v>
      </c>
      <c r="G1159" s="40">
        <f>G1160+G1161</f>
        <v>0</v>
      </c>
      <c r="H1159" s="402"/>
      <c r="I1159" s="402"/>
    </row>
    <row r="1160" spans="1:9" ht="12.75" customHeight="1" hidden="1">
      <c r="A1160" s="21"/>
      <c r="B1160" s="29">
        <v>3121</v>
      </c>
      <c r="C1160" s="30" t="s">
        <v>76</v>
      </c>
      <c r="D1160" s="375"/>
      <c r="E1160" s="375"/>
      <c r="F1160" s="41"/>
      <c r="G1160" s="41"/>
      <c r="H1160" s="402"/>
      <c r="I1160" s="402"/>
    </row>
    <row r="1161" spans="1:9" ht="12.75" customHeight="1" hidden="1">
      <c r="A1161" s="21"/>
      <c r="B1161" s="29">
        <v>3122</v>
      </c>
      <c r="C1161" s="30" t="s">
        <v>77</v>
      </c>
      <c r="D1161" s="375"/>
      <c r="E1161" s="375"/>
      <c r="F1161" s="41"/>
      <c r="G1161" s="41"/>
      <c r="H1161" s="402"/>
      <c r="I1161" s="402"/>
    </row>
    <row r="1162" spans="1:9" ht="12.75" customHeight="1" hidden="1">
      <c r="A1162" s="21"/>
      <c r="B1162" s="29">
        <v>3130</v>
      </c>
      <c r="C1162" s="30" t="s">
        <v>78</v>
      </c>
      <c r="D1162" s="374">
        <f>D1163+D1164</f>
        <v>0</v>
      </c>
      <c r="E1162" s="374">
        <f>E1163+E1164</f>
        <v>0</v>
      </c>
      <c r="F1162" s="40">
        <f>F1163+F1164</f>
        <v>0</v>
      </c>
      <c r="G1162" s="40">
        <f>G1163+G1164</f>
        <v>0</v>
      </c>
      <c r="H1162" s="402"/>
      <c r="I1162" s="402"/>
    </row>
    <row r="1163" spans="1:9" ht="12.75" customHeight="1" hidden="1">
      <c r="A1163" s="21"/>
      <c r="B1163" s="29">
        <v>3131</v>
      </c>
      <c r="C1163" s="30" t="s">
        <v>79</v>
      </c>
      <c r="D1163" s="375"/>
      <c r="E1163" s="375"/>
      <c r="F1163" s="41"/>
      <c r="G1163" s="41"/>
      <c r="H1163" s="402"/>
      <c r="I1163" s="402"/>
    </row>
    <row r="1164" spans="1:9" ht="12.75" customHeight="1" hidden="1">
      <c r="A1164" s="21"/>
      <c r="B1164" s="29">
        <v>3132</v>
      </c>
      <c r="C1164" s="30" t="s">
        <v>80</v>
      </c>
      <c r="D1164" s="375"/>
      <c r="E1164" s="375"/>
      <c r="F1164" s="41"/>
      <c r="G1164" s="41"/>
      <c r="H1164" s="402"/>
      <c r="I1164" s="402"/>
    </row>
    <row r="1165" spans="1:9" ht="12.75" customHeight="1" hidden="1">
      <c r="A1165" s="21"/>
      <c r="B1165" s="29">
        <v>3140</v>
      </c>
      <c r="C1165" s="30" t="s">
        <v>81</v>
      </c>
      <c r="D1165" s="374">
        <f>D1166+D1167+D1168</f>
        <v>0</v>
      </c>
      <c r="E1165" s="374">
        <f>E1166+E1167+E1168</f>
        <v>0</v>
      </c>
      <c r="F1165" s="40">
        <f>F1166+F1167+F1168</f>
        <v>0</v>
      </c>
      <c r="G1165" s="40">
        <f>G1166+G1167+G1168</f>
        <v>0</v>
      </c>
      <c r="H1165" s="402"/>
      <c r="I1165" s="402"/>
    </row>
    <row r="1166" spans="1:9" ht="12.75" customHeight="1" hidden="1">
      <c r="A1166" s="21"/>
      <c r="B1166" s="29">
        <v>3141</v>
      </c>
      <c r="C1166" s="30" t="s">
        <v>82</v>
      </c>
      <c r="D1166" s="375"/>
      <c r="E1166" s="375"/>
      <c r="F1166" s="41"/>
      <c r="G1166" s="41"/>
      <c r="H1166" s="402"/>
      <c r="I1166" s="402"/>
    </row>
    <row r="1167" spans="1:9" ht="12.75" customHeight="1" hidden="1">
      <c r="A1167" s="21"/>
      <c r="B1167" s="29">
        <v>3142</v>
      </c>
      <c r="C1167" s="30" t="s">
        <v>83</v>
      </c>
      <c r="D1167" s="375"/>
      <c r="E1167" s="375"/>
      <c r="F1167" s="41"/>
      <c r="G1167" s="41"/>
      <c r="H1167" s="402"/>
      <c r="I1167" s="402"/>
    </row>
    <row r="1168" spans="1:9" ht="12.75" customHeight="1" hidden="1">
      <c r="A1168" s="21"/>
      <c r="B1168" s="29">
        <v>3143</v>
      </c>
      <c r="C1168" s="30" t="s">
        <v>84</v>
      </c>
      <c r="D1168" s="375"/>
      <c r="E1168" s="375"/>
      <c r="F1168" s="41"/>
      <c r="G1168" s="41"/>
      <c r="H1168" s="402"/>
      <c r="I1168" s="402"/>
    </row>
    <row r="1169" spans="1:9" ht="12.75" customHeight="1" hidden="1">
      <c r="A1169" s="21"/>
      <c r="B1169" s="29">
        <v>3150</v>
      </c>
      <c r="C1169" s="30" t="s">
        <v>85</v>
      </c>
      <c r="D1169" s="375"/>
      <c r="E1169" s="375"/>
      <c r="F1169" s="41"/>
      <c r="G1169" s="41"/>
      <c r="H1169" s="402"/>
      <c r="I1169" s="402"/>
    </row>
    <row r="1170" spans="1:9" ht="12.75" customHeight="1" hidden="1">
      <c r="A1170" s="21"/>
      <c r="B1170" s="29">
        <v>3160</v>
      </c>
      <c r="C1170" s="30" t="s">
        <v>86</v>
      </c>
      <c r="D1170" s="375"/>
      <c r="E1170" s="375"/>
      <c r="F1170" s="41"/>
      <c r="G1170" s="41"/>
      <c r="H1170" s="402"/>
      <c r="I1170" s="402"/>
    </row>
    <row r="1171" spans="1:9" ht="12.75" customHeight="1" hidden="1">
      <c r="A1171" s="21"/>
      <c r="B1171" s="27">
        <v>3200</v>
      </c>
      <c r="C1171" s="28" t="s">
        <v>87</v>
      </c>
      <c r="D1171" s="374">
        <f>D1172+D1173+D1174+D1175</f>
        <v>0</v>
      </c>
      <c r="E1171" s="374">
        <f>E1172+E1173+E1174+E1175</f>
        <v>0</v>
      </c>
      <c r="F1171" s="40">
        <f>F1172+F1173+F1174+F1175</f>
        <v>0</v>
      </c>
      <c r="G1171" s="40">
        <f>G1172+G1173+G1174+G1175</f>
        <v>0</v>
      </c>
      <c r="H1171" s="402"/>
      <c r="I1171" s="402"/>
    </row>
    <row r="1172" spans="1:9" ht="12.75" customHeight="1" hidden="1">
      <c r="A1172" s="21"/>
      <c r="B1172" s="29">
        <v>3210</v>
      </c>
      <c r="C1172" s="30" t="s">
        <v>88</v>
      </c>
      <c r="D1172" s="375"/>
      <c r="E1172" s="375"/>
      <c r="F1172" s="41"/>
      <c r="G1172" s="41"/>
      <c r="H1172" s="402"/>
      <c r="I1172" s="402"/>
    </row>
    <row r="1173" spans="1:9" ht="12.75" customHeight="1" hidden="1">
      <c r="A1173" s="21"/>
      <c r="B1173" s="29">
        <v>3220</v>
      </c>
      <c r="C1173" s="30" t="s">
        <v>89</v>
      </c>
      <c r="D1173" s="375"/>
      <c r="E1173" s="375"/>
      <c r="F1173" s="41"/>
      <c r="G1173" s="41"/>
      <c r="H1173" s="402"/>
      <c r="I1173" s="402"/>
    </row>
    <row r="1174" spans="1:9" ht="12.75" customHeight="1" hidden="1">
      <c r="A1174" s="21"/>
      <c r="B1174" s="29">
        <v>3230</v>
      </c>
      <c r="C1174" s="30" t="s">
        <v>90</v>
      </c>
      <c r="D1174" s="375"/>
      <c r="E1174" s="375"/>
      <c r="F1174" s="41"/>
      <c r="G1174" s="41"/>
      <c r="H1174" s="402"/>
      <c r="I1174" s="402"/>
    </row>
    <row r="1175" spans="1:9" ht="12.75" customHeight="1" hidden="1">
      <c r="A1175" s="21"/>
      <c r="B1175" s="29">
        <v>3240</v>
      </c>
      <c r="C1175" s="30" t="s">
        <v>91</v>
      </c>
      <c r="D1175" s="375"/>
      <c r="E1175" s="375"/>
      <c r="F1175" s="41"/>
      <c r="G1175" s="41"/>
      <c r="H1175" s="402"/>
      <c r="I1175" s="402"/>
    </row>
    <row r="1176" spans="1:10" s="19" customFormat="1" ht="13.5" customHeight="1">
      <c r="A1176" s="7"/>
      <c r="B1176" s="7"/>
      <c r="C1176" s="20" t="s">
        <v>3</v>
      </c>
      <c r="D1176" s="372">
        <f>D1121+D1156</f>
        <v>1664.3500000000001</v>
      </c>
      <c r="E1176" s="372">
        <f>E1121+E1156</f>
        <v>2030.1999999999998</v>
      </c>
      <c r="F1176" s="34">
        <f>F1121+F1156</f>
        <v>2144</v>
      </c>
      <c r="G1176" s="34">
        <f>G1121+G1156</f>
        <v>295.7</v>
      </c>
      <c r="H1176" s="402"/>
      <c r="I1176" s="402"/>
      <c r="J1176" s="353"/>
    </row>
    <row r="1177" spans="2:10" s="48" customFormat="1" ht="26.25">
      <c r="B1177" s="46">
        <v>1115062</v>
      </c>
      <c r="C1177" s="46" t="s">
        <v>103</v>
      </c>
      <c r="D1177" s="379">
        <f>D1178+D1213</f>
        <v>89326.82</v>
      </c>
      <c r="E1177" s="379">
        <f>E1178+E1213</f>
        <v>12380.5</v>
      </c>
      <c r="F1177" s="47">
        <f>F1178+F1213</f>
        <v>11260</v>
      </c>
      <c r="G1177" s="47">
        <f>G1178+G1213</f>
        <v>1048.3</v>
      </c>
      <c r="H1177" s="402"/>
      <c r="I1177" s="402"/>
      <c r="J1177" s="354"/>
    </row>
    <row r="1178" spans="1:9" ht="12.75">
      <c r="A1178" s="6"/>
      <c r="B1178" s="27">
        <v>2000</v>
      </c>
      <c r="C1178" s="28" t="s">
        <v>37</v>
      </c>
      <c r="D1178" s="370">
        <f>D1179+D1184+D1201+D1204+D1208+D1212</f>
        <v>8507.3</v>
      </c>
      <c r="E1178" s="370">
        <f>E1179+E1184+E1201+E1204+E1208+E1212</f>
        <v>10720.1</v>
      </c>
      <c r="F1178" s="33">
        <f>F1179+F1184+F1201+F1204+F1208+F1212</f>
        <v>11260</v>
      </c>
      <c r="G1178" s="33">
        <f>G1179+G1184+G1201+G1204+G1208+G1212</f>
        <v>1039.8</v>
      </c>
      <c r="H1178" s="402"/>
      <c r="I1178" s="402"/>
    </row>
    <row r="1179" spans="1:9" ht="12.75" customHeight="1">
      <c r="A1179" s="6"/>
      <c r="B1179" s="29">
        <v>2100</v>
      </c>
      <c r="C1179" s="30" t="s">
        <v>38</v>
      </c>
      <c r="D1179" s="371">
        <f>D1180+D1183</f>
        <v>1241.1</v>
      </c>
      <c r="E1179" s="371">
        <f>E1180+E1183</f>
        <v>1425.9699999999998</v>
      </c>
      <c r="F1179" s="35">
        <f>F1180+F1183</f>
        <v>1556</v>
      </c>
      <c r="G1179" s="35">
        <f>G1180+G1183</f>
        <v>9.8</v>
      </c>
      <c r="H1179" s="403" t="s">
        <v>600</v>
      </c>
      <c r="I1179" s="404"/>
    </row>
    <row r="1180" spans="1:9" ht="12.75">
      <c r="A1180" s="6"/>
      <c r="B1180" s="29">
        <v>2110</v>
      </c>
      <c r="C1180" s="30" t="s">
        <v>39</v>
      </c>
      <c r="D1180" s="371">
        <f>D1181+D1182</f>
        <v>1023.9</v>
      </c>
      <c r="E1180" s="371">
        <f>E1181+E1182</f>
        <v>1170.1</v>
      </c>
      <c r="F1180" s="35">
        <f>F1181+F1182</f>
        <v>1275.4</v>
      </c>
      <c r="G1180" s="35">
        <f>G1181+G1182</f>
        <v>8</v>
      </c>
      <c r="H1180" s="405"/>
      <c r="I1180" s="406"/>
    </row>
    <row r="1181" spans="1:9" ht="12.75">
      <c r="A1181" s="6"/>
      <c r="B1181" s="29">
        <v>2111</v>
      </c>
      <c r="C1181" s="30" t="s">
        <v>42</v>
      </c>
      <c r="D1181" s="372">
        <v>1023.9</v>
      </c>
      <c r="E1181" s="372">
        <v>1170.1</v>
      </c>
      <c r="F1181" s="34">
        <v>1275.4</v>
      </c>
      <c r="G1181" s="34">
        <v>8</v>
      </c>
      <c r="H1181" s="405"/>
      <c r="I1181" s="406"/>
    </row>
    <row r="1182" spans="1:9" ht="12.75" customHeight="1" hidden="1">
      <c r="A1182" s="6"/>
      <c r="B1182" s="29">
        <v>2112</v>
      </c>
      <c r="C1182" s="30" t="s">
        <v>43</v>
      </c>
      <c r="D1182" s="372"/>
      <c r="E1182" s="372"/>
      <c r="F1182" s="34">
        <v>0</v>
      </c>
      <c r="G1182" s="34"/>
      <c r="H1182" s="405"/>
      <c r="I1182" s="406"/>
    </row>
    <row r="1183" spans="1:9" ht="12.75">
      <c r="A1183" s="6"/>
      <c r="B1183" s="29">
        <v>2120</v>
      </c>
      <c r="C1183" s="30" t="s">
        <v>44</v>
      </c>
      <c r="D1183" s="372">
        <v>217.2</v>
      </c>
      <c r="E1183" s="372">
        <v>255.87</v>
      </c>
      <c r="F1183" s="34">
        <v>280.6</v>
      </c>
      <c r="G1183" s="34">
        <f>ROUND(G1181*0.22,1)</f>
        <v>1.8</v>
      </c>
      <c r="H1183" s="407"/>
      <c r="I1183" s="408"/>
    </row>
    <row r="1184" spans="1:9" ht="12.75">
      <c r="A1184" s="6"/>
      <c r="B1184" s="27">
        <v>2200</v>
      </c>
      <c r="C1184" s="28" t="s">
        <v>45</v>
      </c>
      <c r="D1184" s="370">
        <f>SUM(D1185:D1191)+D1198</f>
        <v>298.6</v>
      </c>
      <c r="E1184" s="370">
        <f>SUM(E1185:E1191)+E1198</f>
        <v>593.5</v>
      </c>
      <c r="F1184" s="33">
        <f>SUM(F1185:F1191)+F1198</f>
        <v>400</v>
      </c>
      <c r="G1184" s="33">
        <f>SUM(G1185:G1191)+G1198</f>
        <v>30</v>
      </c>
      <c r="H1184" s="402"/>
      <c r="I1184" s="402"/>
    </row>
    <row r="1185" spans="1:9" ht="12.75" customHeight="1">
      <c r="A1185" s="6"/>
      <c r="B1185" s="29">
        <v>2210</v>
      </c>
      <c r="C1185" s="30" t="s">
        <v>46</v>
      </c>
      <c r="D1185" s="372">
        <v>43</v>
      </c>
      <c r="E1185" s="372">
        <v>9.5</v>
      </c>
      <c r="F1185" s="34">
        <v>9.8</v>
      </c>
      <c r="G1185" s="34"/>
      <c r="H1185" s="402"/>
      <c r="I1185" s="402"/>
    </row>
    <row r="1186" spans="1:9" ht="12.75" customHeight="1" hidden="1">
      <c r="A1186" s="6"/>
      <c r="B1186" s="29">
        <v>2220</v>
      </c>
      <c r="C1186" s="30" t="s">
        <v>47</v>
      </c>
      <c r="D1186" s="372"/>
      <c r="E1186" s="372"/>
      <c r="F1186" s="34">
        <v>0</v>
      </c>
      <c r="G1186" s="34"/>
      <c r="H1186" s="402"/>
      <c r="I1186" s="402"/>
    </row>
    <row r="1187" spans="1:9" ht="12.75" customHeight="1" hidden="1">
      <c r="A1187" s="6"/>
      <c r="B1187" s="29">
        <v>2230</v>
      </c>
      <c r="C1187" s="30" t="s">
        <v>48</v>
      </c>
      <c r="D1187" s="372"/>
      <c r="E1187" s="372"/>
      <c r="F1187" s="34">
        <v>0</v>
      </c>
      <c r="G1187" s="34"/>
      <c r="H1187" s="402"/>
      <c r="I1187" s="402"/>
    </row>
    <row r="1188" spans="1:9" ht="12.75">
      <c r="A1188" s="6"/>
      <c r="B1188" s="29">
        <v>2240</v>
      </c>
      <c r="C1188" s="30" t="s">
        <v>49</v>
      </c>
      <c r="D1188" s="372">
        <v>237.68</v>
      </c>
      <c r="E1188" s="372">
        <v>570.4</v>
      </c>
      <c r="F1188" s="34">
        <v>373.2</v>
      </c>
      <c r="G1188" s="34">
        <v>30</v>
      </c>
      <c r="H1188" s="402" t="s">
        <v>596</v>
      </c>
      <c r="I1188" s="402"/>
    </row>
    <row r="1189" spans="1:9" ht="12.75">
      <c r="A1189" s="6"/>
      <c r="B1189" s="29">
        <v>2250</v>
      </c>
      <c r="C1189" s="30" t="s">
        <v>50</v>
      </c>
      <c r="D1189" s="372">
        <v>15.2</v>
      </c>
      <c r="E1189" s="372">
        <v>10</v>
      </c>
      <c r="F1189" s="34">
        <v>13.1</v>
      </c>
      <c r="G1189" s="34"/>
      <c r="H1189" s="402"/>
      <c r="I1189" s="402"/>
    </row>
    <row r="1190" spans="1:9" ht="12.75" customHeight="1" hidden="1">
      <c r="A1190" s="6"/>
      <c r="B1190" s="29">
        <v>2260</v>
      </c>
      <c r="C1190" s="30" t="s">
        <v>51</v>
      </c>
      <c r="D1190" s="372"/>
      <c r="E1190" s="372"/>
      <c r="F1190" s="34"/>
      <c r="G1190" s="34"/>
      <c r="H1190" s="402"/>
      <c r="I1190" s="402"/>
    </row>
    <row r="1191" spans="1:9" ht="12.75">
      <c r="A1191" s="6"/>
      <c r="B1191" s="27">
        <v>2270</v>
      </c>
      <c r="C1191" s="28" t="s">
        <v>52</v>
      </c>
      <c r="D1191" s="370">
        <f>D1192+D1193+D1194+D1195+D1196+D1197</f>
        <v>2.72</v>
      </c>
      <c r="E1191" s="370">
        <f>E1192+E1193+E1194+E1195+E1196+E1197</f>
        <v>3.6</v>
      </c>
      <c r="F1191" s="33">
        <f>F1192+F1193+F1194+F1195+F1196+F1197</f>
        <v>3.9</v>
      </c>
      <c r="G1191" s="33">
        <f>G1192+G1193+G1194+G1195+G1196+G1197</f>
        <v>0</v>
      </c>
      <c r="H1191" s="402"/>
      <c r="I1191" s="402"/>
    </row>
    <row r="1192" spans="1:9" ht="12.75">
      <c r="A1192" s="6"/>
      <c r="B1192" s="29">
        <v>2271</v>
      </c>
      <c r="C1192" s="30" t="s">
        <v>53</v>
      </c>
      <c r="D1192" s="372">
        <v>2.6</v>
      </c>
      <c r="E1192" s="372">
        <v>3.4</v>
      </c>
      <c r="F1192" s="34">
        <v>3.6</v>
      </c>
      <c r="G1192" s="34"/>
      <c r="H1192" s="402"/>
      <c r="I1192" s="402"/>
    </row>
    <row r="1193" spans="1:9" ht="12.75">
      <c r="A1193" s="6"/>
      <c r="B1193" s="29">
        <v>2272</v>
      </c>
      <c r="C1193" s="30" t="s">
        <v>54</v>
      </c>
      <c r="D1193" s="372">
        <v>0.12</v>
      </c>
      <c r="E1193" s="372">
        <v>0.2</v>
      </c>
      <c r="F1193" s="34">
        <v>0.3</v>
      </c>
      <c r="G1193" s="34"/>
      <c r="H1193" s="402"/>
      <c r="I1193" s="402"/>
    </row>
    <row r="1194" spans="1:9" ht="12.75" hidden="1">
      <c r="A1194" s="6"/>
      <c r="B1194" s="29">
        <v>2273</v>
      </c>
      <c r="C1194" s="30" t="s">
        <v>55</v>
      </c>
      <c r="D1194" s="372"/>
      <c r="E1194" s="372"/>
      <c r="F1194" s="34"/>
      <c r="G1194" s="34"/>
      <c r="H1194" s="402"/>
      <c r="I1194" s="402"/>
    </row>
    <row r="1195" spans="1:9" ht="12.75" customHeight="1" hidden="1">
      <c r="A1195" s="6"/>
      <c r="B1195" s="29">
        <v>2274</v>
      </c>
      <c r="C1195" s="30" t="s">
        <v>56</v>
      </c>
      <c r="D1195" s="372"/>
      <c r="E1195" s="372"/>
      <c r="F1195" s="34"/>
      <c r="G1195" s="34"/>
      <c r="H1195" s="402"/>
      <c r="I1195" s="402"/>
    </row>
    <row r="1196" spans="1:9" ht="12.75" customHeight="1" hidden="1">
      <c r="A1196" s="6"/>
      <c r="B1196" s="29">
        <v>2275</v>
      </c>
      <c r="C1196" s="30" t="s">
        <v>57</v>
      </c>
      <c r="D1196" s="372"/>
      <c r="E1196" s="372"/>
      <c r="F1196" s="34"/>
      <c r="G1196" s="34"/>
      <c r="H1196" s="402"/>
      <c r="I1196" s="402"/>
    </row>
    <row r="1197" spans="1:9" ht="12.75" customHeight="1" hidden="1">
      <c r="A1197" s="6"/>
      <c r="B1197" s="31">
        <v>2276</v>
      </c>
      <c r="C1197" s="32" t="s">
        <v>58</v>
      </c>
      <c r="D1197" s="372"/>
      <c r="E1197" s="372"/>
      <c r="F1197" s="34"/>
      <c r="G1197" s="34"/>
      <c r="H1197" s="402"/>
      <c r="I1197" s="402"/>
    </row>
    <row r="1198" spans="1:9" ht="12.75" customHeight="1" hidden="1">
      <c r="A1198" s="6"/>
      <c r="B1198" s="27">
        <v>2280</v>
      </c>
      <c r="C1198" s="28" t="s">
        <v>59</v>
      </c>
      <c r="D1198" s="370">
        <f>D1199+D1200</f>
        <v>0</v>
      </c>
      <c r="E1198" s="370">
        <f>E1199+E1200</f>
        <v>0</v>
      </c>
      <c r="F1198" s="33">
        <f>F1199+F1200</f>
        <v>0</v>
      </c>
      <c r="G1198" s="33">
        <f>G1199+G1200</f>
        <v>0</v>
      </c>
      <c r="H1198" s="402"/>
      <c r="I1198" s="402"/>
    </row>
    <row r="1199" spans="1:9" ht="12.75" customHeight="1" hidden="1">
      <c r="A1199" s="6"/>
      <c r="B1199" s="29">
        <v>2281</v>
      </c>
      <c r="C1199" s="30" t="s">
        <v>60</v>
      </c>
      <c r="D1199" s="372"/>
      <c r="E1199" s="372"/>
      <c r="F1199" s="34"/>
      <c r="G1199" s="34"/>
      <c r="H1199" s="402"/>
      <c r="I1199" s="402"/>
    </row>
    <row r="1200" spans="1:9" ht="12.75" customHeight="1" hidden="1">
      <c r="A1200" s="6"/>
      <c r="B1200" s="29">
        <v>2282</v>
      </c>
      <c r="C1200" s="30" t="s">
        <v>61</v>
      </c>
      <c r="D1200" s="372"/>
      <c r="E1200" s="372"/>
      <c r="F1200" s="34"/>
      <c r="G1200" s="34"/>
      <c r="H1200" s="402"/>
      <c r="I1200" s="402"/>
    </row>
    <row r="1201" spans="1:9" ht="12.75" customHeight="1" hidden="1">
      <c r="A1201" s="6"/>
      <c r="B1201" s="27">
        <v>2400</v>
      </c>
      <c r="C1201" s="28" t="s">
        <v>62</v>
      </c>
      <c r="D1201" s="372">
        <f>D1202+D1203</f>
        <v>0</v>
      </c>
      <c r="E1201" s="372">
        <f>E1202+E1203</f>
        <v>0</v>
      </c>
      <c r="F1201" s="34">
        <f>F1202+F1203</f>
        <v>0</v>
      </c>
      <c r="G1201" s="34">
        <f>G1202+G1203</f>
        <v>0</v>
      </c>
      <c r="H1201" s="402"/>
      <c r="I1201" s="402"/>
    </row>
    <row r="1202" spans="1:9" ht="12.75" customHeight="1" hidden="1">
      <c r="A1202" s="6"/>
      <c r="B1202" s="29">
        <v>2410</v>
      </c>
      <c r="C1202" s="30" t="s">
        <v>63</v>
      </c>
      <c r="D1202" s="372"/>
      <c r="E1202" s="372"/>
      <c r="F1202" s="34"/>
      <c r="G1202" s="34"/>
      <c r="H1202" s="402"/>
      <c r="I1202" s="402"/>
    </row>
    <row r="1203" spans="1:9" ht="12.75" customHeight="1" hidden="1">
      <c r="A1203" s="6"/>
      <c r="B1203" s="29">
        <v>2420</v>
      </c>
      <c r="C1203" s="30" t="s">
        <v>64</v>
      </c>
      <c r="D1203" s="372"/>
      <c r="E1203" s="372"/>
      <c r="F1203" s="34"/>
      <c r="G1203" s="34"/>
      <c r="H1203" s="402"/>
      <c r="I1203" s="402"/>
    </row>
    <row r="1204" spans="1:9" ht="12.75" customHeight="1" hidden="1">
      <c r="A1204" s="6"/>
      <c r="B1204" s="27">
        <v>2600</v>
      </c>
      <c r="C1204" s="28" t="s">
        <v>65</v>
      </c>
      <c r="D1204" s="370">
        <f>D1205+D1206+D1207</f>
        <v>0</v>
      </c>
      <c r="E1204" s="370">
        <f>E1205+E1206+E1207</f>
        <v>0</v>
      </c>
      <c r="F1204" s="33">
        <f>F1205+F1206+F1207</f>
        <v>0</v>
      </c>
      <c r="G1204" s="33">
        <f>G1205+G1206+G1207</f>
        <v>0</v>
      </c>
      <c r="H1204" s="402"/>
      <c r="I1204" s="402"/>
    </row>
    <row r="1205" spans="1:9" ht="12.75" customHeight="1" hidden="1">
      <c r="A1205" s="6"/>
      <c r="B1205" s="29">
        <v>2610</v>
      </c>
      <c r="C1205" s="30" t="s">
        <v>66</v>
      </c>
      <c r="D1205" s="372"/>
      <c r="E1205" s="372"/>
      <c r="F1205" s="34"/>
      <c r="G1205" s="34"/>
      <c r="H1205" s="402"/>
      <c r="I1205" s="402"/>
    </row>
    <row r="1206" spans="1:9" ht="12.75" customHeight="1" hidden="1">
      <c r="A1206" s="6"/>
      <c r="B1206" s="29">
        <v>2620</v>
      </c>
      <c r="C1206" s="30" t="s">
        <v>67</v>
      </c>
      <c r="D1206" s="372"/>
      <c r="E1206" s="372"/>
      <c r="F1206" s="34"/>
      <c r="G1206" s="34"/>
      <c r="H1206" s="402"/>
      <c r="I1206" s="402"/>
    </row>
    <row r="1207" spans="1:9" ht="12.75" customHeight="1" hidden="1">
      <c r="A1207" s="6"/>
      <c r="B1207" s="29">
        <v>2630</v>
      </c>
      <c r="C1207" s="30" t="s">
        <v>68</v>
      </c>
      <c r="D1207" s="372"/>
      <c r="E1207" s="372"/>
      <c r="F1207" s="34"/>
      <c r="G1207" s="34"/>
      <c r="H1207" s="402"/>
      <c r="I1207" s="402"/>
    </row>
    <row r="1208" spans="1:9" ht="12.75">
      <c r="A1208" s="6"/>
      <c r="B1208" s="27">
        <v>2700</v>
      </c>
      <c r="C1208" s="28" t="s">
        <v>69</v>
      </c>
      <c r="D1208" s="370">
        <f>D1209+D1210+D1211</f>
        <v>6967.6</v>
      </c>
      <c r="E1208" s="370">
        <f>E1209+E1210+E1211</f>
        <v>8700.1</v>
      </c>
      <c r="F1208" s="33">
        <f>F1209+F1210+F1211</f>
        <v>9304</v>
      </c>
      <c r="G1208" s="33">
        <f>G1209+G1210+G1211</f>
        <v>1000</v>
      </c>
      <c r="H1208" s="402"/>
      <c r="I1208" s="402"/>
    </row>
    <row r="1209" spans="1:9" ht="12.75" customHeight="1" hidden="1">
      <c r="A1209" s="6"/>
      <c r="B1209" s="29">
        <v>2710</v>
      </c>
      <c r="C1209" s="30" t="s">
        <v>70</v>
      </c>
      <c r="D1209" s="373"/>
      <c r="E1209" s="373"/>
      <c r="F1209" s="42"/>
      <c r="G1209" s="42"/>
      <c r="H1209" s="402"/>
      <c r="I1209" s="402"/>
    </row>
    <row r="1210" spans="1:9" ht="12.75" customHeight="1" hidden="1">
      <c r="A1210" s="6"/>
      <c r="B1210" s="29">
        <v>2720</v>
      </c>
      <c r="C1210" s="30" t="s">
        <v>71</v>
      </c>
      <c r="D1210" s="373"/>
      <c r="E1210" s="373"/>
      <c r="F1210" s="34"/>
      <c r="G1210" s="42"/>
      <c r="H1210" s="402"/>
      <c r="I1210" s="402"/>
    </row>
    <row r="1211" spans="1:9" ht="12.75">
      <c r="A1211" s="6"/>
      <c r="B1211" s="29">
        <v>2730</v>
      </c>
      <c r="C1211" s="30" t="s">
        <v>72</v>
      </c>
      <c r="D1211" s="372">
        <v>6967.6</v>
      </c>
      <c r="E1211" s="372">
        <v>8700.1</v>
      </c>
      <c r="F1211" s="34">
        <v>9304</v>
      </c>
      <c r="G1211" s="42">
        <v>1000</v>
      </c>
      <c r="H1211" s="402"/>
      <c r="I1211" s="402"/>
    </row>
    <row r="1212" spans="1:9" ht="12.75" customHeight="1">
      <c r="A1212" s="6"/>
      <c r="B1212" s="27">
        <v>2800</v>
      </c>
      <c r="C1212" s="28" t="s">
        <v>73</v>
      </c>
      <c r="D1212" s="373"/>
      <c r="E1212" s="373">
        <v>0.53</v>
      </c>
      <c r="F1212" s="34"/>
      <c r="G1212" s="42"/>
      <c r="H1212" s="402"/>
      <c r="I1212" s="402"/>
    </row>
    <row r="1213" spans="1:9" ht="13.5" customHeight="1">
      <c r="A1213" s="21"/>
      <c r="B1213" s="27">
        <v>3000</v>
      </c>
      <c r="C1213" s="28" t="s">
        <v>40</v>
      </c>
      <c r="D1213" s="374">
        <f>D1214+D1228</f>
        <v>80819.52</v>
      </c>
      <c r="E1213" s="374">
        <f>E1214+E1228</f>
        <v>1660.4</v>
      </c>
      <c r="F1213" s="40">
        <f>F1214+F1228</f>
        <v>0</v>
      </c>
      <c r="G1213" s="40">
        <f>G1214+G1228</f>
        <v>8.5</v>
      </c>
      <c r="H1213" s="403" t="s">
        <v>602</v>
      </c>
      <c r="I1213" s="404"/>
    </row>
    <row r="1214" spans="1:10" ht="13.5" customHeight="1">
      <c r="A1214" s="21"/>
      <c r="B1214" s="27">
        <v>3100</v>
      </c>
      <c r="C1214" s="28" t="s">
        <v>41</v>
      </c>
      <c r="D1214" s="374">
        <f>D1215+D1216+D1219+D1222+D1226+D1227+D1228</f>
        <v>80819.52</v>
      </c>
      <c r="E1214" s="374">
        <f>E1215+E1216+E1219+E1222+E1226+E1227+E1228</f>
        <v>1660.4</v>
      </c>
      <c r="F1214" s="40">
        <f>F1215+F1216+F1219+F1222+F1226+F1227+F1228</f>
        <v>0</v>
      </c>
      <c r="G1214" s="40">
        <f>G1215+G1216+G1219+G1222+G1226+G1227+G1228</f>
        <v>8.5</v>
      </c>
      <c r="H1214" s="405"/>
      <c r="I1214" s="406"/>
      <c r="J1214" s="351"/>
    </row>
    <row r="1215" spans="1:9" ht="13.5" customHeight="1">
      <c r="A1215" s="21"/>
      <c r="B1215" s="29">
        <v>3110</v>
      </c>
      <c r="C1215" s="30" t="s">
        <v>74</v>
      </c>
      <c r="D1215" s="373">
        <v>80819.52</v>
      </c>
      <c r="E1215" s="373">
        <v>1660.4</v>
      </c>
      <c r="F1215" s="41"/>
      <c r="G1215" s="41">
        <v>8.5</v>
      </c>
      <c r="H1215" s="407"/>
      <c r="I1215" s="408"/>
    </row>
    <row r="1216" spans="1:9" ht="12.75" customHeight="1" hidden="1">
      <c r="A1216" s="21"/>
      <c r="B1216" s="29">
        <v>3120</v>
      </c>
      <c r="C1216" s="30" t="s">
        <v>75</v>
      </c>
      <c r="D1216" s="374">
        <f>D1217+D1218</f>
        <v>0</v>
      </c>
      <c r="E1216" s="374">
        <f>E1217+E1218</f>
        <v>0</v>
      </c>
      <c r="F1216" s="40">
        <f>F1217+F1218</f>
        <v>0</v>
      </c>
      <c r="G1216" s="40">
        <f>G1217+G1218</f>
        <v>0</v>
      </c>
      <c r="H1216" s="402"/>
      <c r="I1216" s="402"/>
    </row>
    <row r="1217" spans="1:9" ht="12.75" customHeight="1" hidden="1">
      <c r="A1217" s="21"/>
      <c r="B1217" s="29">
        <v>3121</v>
      </c>
      <c r="C1217" s="30" t="s">
        <v>76</v>
      </c>
      <c r="D1217" s="375"/>
      <c r="E1217" s="375"/>
      <c r="F1217" s="41"/>
      <c r="G1217" s="41"/>
      <c r="H1217" s="402"/>
      <c r="I1217" s="402"/>
    </row>
    <row r="1218" spans="1:9" ht="12.75" customHeight="1" hidden="1">
      <c r="A1218" s="21"/>
      <c r="B1218" s="29">
        <v>3122</v>
      </c>
      <c r="C1218" s="30" t="s">
        <v>77</v>
      </c>
      <c r="D1218" s="375"/>
      <c r="E1218" s="375"/>
      <c r="F1218" s="41"/>
      <c r="G1218" s="41"/>
      <c r="H1218" s="402"/>
      <c r="I1218" s="402"/>
    </row>
    <row r="1219" spans="1:9" ht="12.75" customHeight="1" hidden="1">
      <c r="A1219" s="21"/>
      <c r="B1219" s="29">
        <v>3130</v>
      </c>
      <c r="C1219" s="30" t="s">
        <v>78</v>
      </c>
      <c r="D1219" s="374">
        <f>D1220+D1221</f>
        <v>0</v>
      </c>
      <c r="E1219" s="374">
        <f>E1220+E1221</f>
        <v>0</v>
      </c>
      <c r="F1219" s="40">
        <f>F1220+F1221</f>
        <v>0</v>
      </c>
      <c r="G1219" s="40">
        <f>G1220+G1221</f>
        <v>0</v>
      </c>
      <c r="H1219" s="402"/>
      <c r="I1219" s="402"/>
    </row>
    <row r="1220" spans="1:9" ht="12.75" customHeight="1" hidden="1">
      <c r="A1220" s="21"/>
      <c r="B1220" s="29">
        <v>3131</v>
      </c>
      <c r="C1220" s="30" t="s">
        <v>79</v>
      </c>
      <c r="D1220" s="375"/>
      <c r="E1220" s="375"/>
      <c r="F1220" s="41"/>
      <c r="G1220" s="41"/>
      <c r="H1220" s="402"/>
      <c r="I1220" s="402"/>
    </row>
    <row r="1221" spans="1:9" ht="12.75" customHeight="1" hidden="1">
      <c r="A1221" s="21"/>
      <c r="B1221" s="29">
        <v>3132</v>
      </c>
      <c r="C1221" s="30" t="s">
        <v>80</v>
      </c>
      <c r="D1221" s="375"/>
      <c r="E1221" s="375"/>
      <c r="F1221" s="41"/>
      <c r="G1221" s="41"/>
      <c r="H1221" s="402"/>
      <c r="I1221" s="402"/>
    </row>
    <row r="1222" spans="1:9" ht="12.75" customHeight="1" hidden="1">
      <c r="A1222" s="21"/>
      <c r="B1222" s="29">
        <v>3140</v>
      </c>
      <c r="C1222" s="30" t="s">
        <v>81</v>
      </c>
      <c r="D1222" s="374">
        <f>D1223+D1224+D1225</f>
        <v>0</v>
      </c>
      <c r="E1222" s="374">
        <f>E1223+E1224+E1225</f>
        <v>0</v>
      </c>
      <c r="F1222" s="40">
        <f>F1223+F1224+F1225</f>
        <v>0</v>
      </c>
      <c r="G1222" s="40">
        <f>G1223+G1224+G1225</f>
        <v>0</v>
      </c>
      <c r="H1222" s="402"/>
      <c r="I1222" s="402"/>
    </row>
    <row r="1223" spans="1:9" ht="12.75" customHeight="1" hidden="1">
      <c r="A1223" s="21"/>
      <c r="B1223" s="29">
        <v>3141</v>
      </c>
      <c r="C1223" s="30" t="s">
        <v>82</v>
      </c>
      <c r="D1223" s="375"/>
      <c r="E1223" s="375"/>
      <c r="F1223" s="41"/>
      <c r="G1223" s="41"/>
      <c r="H1223" s="402"/>
      <c r="I1223" s="402"/>
    </row>
    <row r="1224" spans="1:9" ht="12.75" customHeight="1" hidden="1">
      <c r="A1224" s="21"/>
      <c r="B1224" s="29">
        <v>3142</v>
      </c>
      <c r="C1224" s="30" t="s">
        <v>83</v>
      </c>
      <c r="D1224" s="375"/>
      <c r="E1224" s="375"/>
      <c r="F1224" s="41"/>
      <c r="G1224" s="41"/>
      <c r="H1224" s="402"/>
      <c r="I1224" s="402"/>
    </row>
    <row r="1225" spans="1:9" ht="12.75" customHeight="1" hidden="1">
      <c r="A1225" s="21"/>
      <c r="B1225" s="29">
        <v>3143</v>
      </c>
      <c r="C1225" s="30" t="s">
        <v>84</v>
      </c>
      <c r="D1225" s="375"/>
      <c r="E1225" s="375"/>
      <c r="F1225" s="41"/>
      <c r="G1225" s="41"/>
      <c r="H1225" s="402"/>
      <c r="I1225" s="402"/>
    </row>
    <row r="1226" spans="1:9" ht="12.75" customHeight="1" hidden="1">
      <c r="A1226" s="21"/>
      <c r="B1226" s="29">
        <v>3150</v>
      </c>
      <c r="C1226" s="30" t="s">
        <v>85</v>
      </c>
      <c r="D1226" s="375"/>
      <c r="E1226" s="375"/>
      <c r="F1226" s="41"/>
      <c r="G1226" s="41"/>
      <c r="H1226" s="402"/>
      <c r="I1226" s="402"/>
    </row>
    <row r="1227" spans="1:9" ht="12.75" customHeight="1" hidden="1">
      <c r="A1227" s="21"/>
      <c r="B1227" s="29">
        <v>3160</v>
      </c>
      <c r="C1227" s="30" t="s">
        <v>86</v>
      </c>
      <c r="D1227" s="375"/>
      <c r="E1227" s="375"/>
      <c r="F1227" s="41"/>
      <c r="G1227" s="41"/>
      <c r="H1227" s="402"/>
      <c r="I1227" s="402"/>
    </row>
    <row r="1228" spans="1:9" ht="12.75" customHeight="1" hidden="1">
      <c r="A1228" s="21"/>
      <c r="B1228" s="27">
        <v>3200</v>
      </c>
      <c r="C1228" s="28" t="s">
        <v>87</v>
      </c>
      <c r="D1228" s="374">
        <f>D1229+D1230+D1231+D1232</f>
        <v>0</v>
      </c>
      <c r="E1228" s="374">
        <f>E1229+E1230+E1231+E1232</f>
        <v>0</v>
      </c>
      <c r="F1228" s="40">
        <f>F1229+F1230+F1231+F1232</f>
        <v>0</v>
      </c>
      <c r="G1228" s="40">
        <f>G1229+G1230+G1231+G1232</f>
        <v>0</v>
      </c>
      <c r="H1228" s="402"/>
      <c r="I1228" s="402"/>
    </row>
    <row r="1229" spans="1:9" ht="12.75" customHeight="1" hidden="1">
      <c r="A1229" s="21"/>
      <c r="B1229" s="29">
        <v>3210</v>
      </c>
      <c r="C1229" s="30" t="s">
        <v>88</v>
      </c>
      <c r="D1229" s="375"/>
      <c r="E1229" s="375"/>
      <c r="F1229" s="41"/>
      <c r="G1229" s="41"/>
      <c r="H1229" s="402"/>
      <c r="I1229" s="402"/>
    </row>
    <row r="1230" spans="1:9" ht="12.75" customHeight="1" hidden="1">
      <c r="A1230" s="21"/>
      <c r="B1230" s="29">
        <v>3220</v>
      </c>
      <c r="C1230" s="30" t="s">
        <v>89</v>
      </c>
      <c r="D1230" s="375"/>
      <c r="E1230" s="375"/>
      <c r="F1230" s="41"/>
      <c r="G1230" s="41"/>
      <c r="H1230" s="402"/>
      <c r="I1230" s="402"/>
    </row>
    <row r="1231" spans="1:9" ht="12.75" customHeight="1" hidden="1">
      <c r="A1231" s="21"/>
      <c r="B1231" s="29">
        <v>3230</v>
      </c>
      <c r="C1231" s="30" t="s">
        <v>90</v>
      </c>
      <c r="D1231" s="375"/>
      <c r="E1231" s="375"/>
      <c r="F1231" s="41"/>
      <c r="G1231" s="41"/>
      <c r="H1231" s="402"/>
      <c r="I1231" s="402"/>
    </row>
    <row r="1232" spans="1:9" ht="12.75" customHeight="1" hidden="1">
      <c r="A1232" s="21"/>
      <c r="B1232" s="29">
        <v>3240</v>
      </c>
      <c r="C1232" s="30" t="s">
        <v>91</v>
      </c>
      <c r="D1232" s="375"/>
      <c r="E1232" s="375"/>
      <c r="F1232" s="41"/>
      <c r="G1232" s="41"/>
      <c r="H1232" s="402"/>
      <c r="I1232" s="402"/>
    </row>
    <row r="1233" spans="1:10" s="19" customFormat="1" ht="13.5" customHeight="1">
      <c r="A1233" s="7"/>
      <c r="B1233" s="7"/>
      <c r="C1233" s="20" t="s">
        <v>3</v>
      </c>
      <c r="D1233" s="372">
        <f>D1178+D1213</f>
        <v>89326.82</v>
      </c>
      <c r="E1233" s="372">
        <f>E1178+E1213</f>
        <v>12380.5</v>
      </c>
      <c r="F1233" s="34">
        <f>F1178+F1213</f>
        <v>11260</v>
      </c>
      <c r="G1233" s="34">
        <f>G1178+G1213</f>
        <v>1048.3</v>
      </c>
      <c r="H1233" s="402"/>
      <c r="I1233" s="402"/>
      <c r="J1233" s="353"/>
    </row>
    <row r="1234" spans="2:10" s="37" customFormat="1" ht="12.75">
      <c r="B1234" s="36">
        <v>1115000</v>
      </c>
      <c r="C1234" s="36" t="s">
        <v>106</v>
      </c>
      <c r="D1234" s="385">
        <f>D1235+D1270</f>
        <v>176769.37</v>
      </c>
      <c r="E1234" s="385">
        <f>E1235+E1270</f>
        <v>117951.347</v>
      </c>
      <c r="F1234" s="45">
        <f>F1235+F1270</f>
        <v>123561.70000000001</v>
      </c>
      <c r="G1234" s="45">
        <f>G1235+G1270</f>
        <v>7684.2</v>
      </c>
      <c r="H1234" s="428"/>
      <c r="I1234" s="428"/>
      <c r="J1234" s="350"/>
    </row>
    <row r="1235" spans="1:9" ht="12.75">
      <c r="A1235" s="6"/>
      <c r="B1235" s="79">
        <v>2000</v>
      </c>
      <c r="C1235" s="80" t="s">
        <v>37</v>
      </c>
      <c r="D1235" s="379">
        <f>D1236+D1241+D1258+D1261+D1265+D1269</f>
        <v>93184.71</v>
      </c>
      <c r="E1235" s="379">
        <f>E1236+E1241+E1258+E1261+E1265+E1269</f>
        <v>113128.447</v>
      </c>
      <c r="F1235" s="47">
        <f>F1236+F1241+F1258+F1261+F1265+F1269</f>
        <v>123561.70000000001</v>
      </c>
      <c r="G1235" s="152">
        <f>G1236+G1241+G1258+G1261+G1265+G1269</f>
        <v>5687.5</v>
      </c>
      <c r="H1235" s="429"/>
      <c r="I1235" s="429"/>
    </row>
    <row r="1236" spans="1:9" ht="12.75" customHeight="1">
      <c r="A1236" s="6"/>
      <c r="B1236" s="81">
        <v>2100</v>
      </c>
      <c r="C1236" s="82" t="s">
        <v>38</v>
      </c>
      <c r="D1236" s="380">
        <f>D1237+D1240</f>
        <v>34163.01</v>
      </c>
      <c r="E1236" s="380">
        <f>E1237+E1240</f>
        <v>41057.883</v>
      </c>
      <c r="F1236" s="86">
        <f>F1237+F1240</f>
        <v>46111.9</v>
      </c>
      <c r="G1236" s="164">
        <f>G1237+G1240</f>
        <v>1413.2999999999997</v>
      </c>
      <c r="H1236" s="429"/>
      <c r="I1236" s="429"/>
    </row>
    <row r="1237" spans="1:9" ht="12.75">
      <c r="A1237" s="6"/>
      <c r="B1237" s="81">
        <v>2110</v>
      </c>
      <c r="C1237" s="82" t="s">
        <v>39</v>
      </c>
      <c r="D1237" s="380">
        <f>D1238+D1239</f>
        <v>28035.5</v>
      </c>
      <c r="E1237" s="380">
        <f>E1238+E1239</f>
        <v>33653.700000000004</v>
      </c>
      <c r="F1237" s="86">
        <f>F1238+F1239</f>
        <v>37825.200000000004</v>
      </c>
      <c r="G1237" s="164">
        <f>G1238+G1239</f>
        <v>1166.9999999999998</v>
      </c>
      <c r="H1237" s="429"/>
      <c r="I1237" s="429"/>
    </row>
    <row r="1238" spans="1:13" ht="12.75">
      <c r="A1238" s="6"/>
      <c r="B1238" s="81">
        <v>2111</v>
      </c>
      <c r="C1238" s="82" t="s">
        <v>42</v>
      </c>
      <c r="D1238" s="381">
        <f>D764+D801+D839+D896+D934+D991+D1028+D1086+D1124+D1181</f>
        <v>28035.5</v>
      </c>
      <c r="E1238" s="381">
        <f>E764+E801+E839+E896+E934+E991+E1028+E1086+E1124+E1181</f>
        <v>33653.700000000004</v>
      </c>
      <c r="F1238" s="170">
        <f>F764+F801+F839+F896+F934+F991+F1028+F1086+F1124+F1181</f>
        <v>37825.200000000004</v>
      </c>
      <c r="G1238" s="170">
        <f>G764+G801+G839+G896+G934+G991+G1028+G1086+G1124+G1181</f>
        <v>1166.9999999999998</v>
      </c>
      <c r="H1238" s="429"/>
      <c r="I1238" s="429"/>
      <c r="J1238" s="74">
        <v>697.9</v>
      </c>
      <c r="K1238" s="74"/>
      <c r="M1238" s="52">
        <f>F1238+J1238</f>
        <v>38523.100000000006</v>
      </c>
    </row>
    <row r="1239" spans="1:13" ht="12.75" customHeight="1" hidden="1">
      <c r="A1239" s="6"/>
      <c r="B1239" s="81">
        <v>2112</v>
      </c>
      <c r="C1239" s="82" t="s">
        <v>43</v>
      </c>
      <c r="D1239" s="381">
        <f aca="true" t="shared" si="12" ref="D1239:F1240">D765+D802+D840+D897+D935+D992+D1029+D1087+D1125+D1182</f>
        <v>0</v>
      </c>
      <c r="E1239" s="381">
        <f t="shared" si="12"/>
        <v>0</v>
      </c>
      <c r="F1239" s="170">
        <f t="shared" si="12"/>
        <v>0</v>
      </c>
      <c r="G1239" s="170">
        <f>G765+G802+G840+G897+G935+G992+G1029+G1087+G1125+G1182</f>
        <v>0</v>
      </c>
      <c r="H1239" s="429"/>
      <c r="I1239" s="429"/>
      <c r="K1239" s="74"/>
      <c r="M1239" s="52">
        <f>F1239+J1239</f>
        <v>0</v>
      </c>
    </row>
    <row r="1240" spans="1:13" ht="12.75">
      <c r="A1240" s="6"/>
      <c r="B1240" s="81">
        <v>2120</v>
      </c>
      <c r="C1240" s="82" t="s">
        <v>44</v>
      </c>
      <c r="D1240" s="381">
        <f t="shared" si="12"/>
        <v>6127.51</v>
      </c>
      <c r="E1240" s="381">
        <f t="shared" si="12"/>
        <v>7404.183</v>
      </c>
      <c r="F1240" s="170">
        <f t="shared" si="12"/>
        <v>8286.699999999999</v>
      </c>
      <c r="G1240" s="170">
        <f>G766+G803+G841+G898+G936+G993+G1030+G1088+G1126+G1183</f>
        <v>246.3</v>
      </c>
      <c r="H1240" s="429"/>
      <c r="I1240" s="429"/>
      <c r="J1240" s="74">
        <v>153.5</v>
      </c>
      <c r="K1240" s="74"/>
      <c r="M1240" s="52">
        <f>F1240+J1240</f>
        <v>8440.199999999999</v>
      </c>
    </row>
    <row r="1241" spans="1:11" ht="12.75">
      <c r="A1241" s="6"/>
      <c r="B1241" s="79">
        <v>2200</v>
      </c>
      <c r="C1241" s="80" t="s">
        <v>45</v>
      </c>
      <c r="D1241" s="379">
        <f>SUM(D1242:D1248)+D1255</f>
        <v>40749.43</v>
      </c>
      <c r="E1241" s="379">
        <f>SUM(E1242:E1248)+E1255</f>
        <v>50384.034</v>
      </c>
      <c r="F1241" s="47">
        <f>SUM(F1242:F1248)+F1255</f>
        <v>54038.9</v>
      </c>
      <c r="G1241" s="152">
        <f>SUM(G1242:G1248)+G1255</f>
        <v>1844.5</v>
      </c>
      <c r="H1241" s="429"/>
      <c r="I1241" s="429"/>
      <c r="K1241" s="74"/>
    </row>
    <row r="1242" spans="1:11" ht="12.75" customHeight="1">
      <c r="A1242" s="6"/>
      <c r="B1242" s="81">
        <v>2210</v>
      </c>
      <c r="C1242" s="82" t="s">
        <v>46</v>
      </c>
      <c r="D1242" s="381">
        <f aca="true" t="shared" si="13" ref="D1242:F1245">D768+D805+D843+D900+D938+D995+D1032+D1090+D1128+D1185</f>
        <v>2611.56</v>
      </c>
      <c r="E1242" s="381">
        <f t="shared" si="13"/>
        <v>4100.5</v>
      </c>
      <c r="F1242" s="170">
        <f t="shared" si="13"/>
        <v>4260.900000000001</v>
      </c>
      <c r="G1242" s="170">
        <f aca="true" t="shared" si="14" ref="G1242:G1247">G768+G805+G843+G900+G938+G995+G1032+G1090+G1128+G1185</f>
        <v>604.3</v>
      </c>
      <c r="H1242" s="429"/>
      <c r="I1242" s="429"/>
      <c r="K1242" s="74"/>
    </row>
    <row r="1243" spans="1:11" ht="12.75" customHeight="1">
      <c r="A1243" s="6"/>
      <c r="B1243" s="81">
        <v>2220</v>
      </c>
      <c r="C1243" s="82" t="s">
        <v>47</v>
      </c>
      <c r="D1243" s="381">
        <f t="shared" si="13"/>
        <v>242.1</v>
      </c>
      <c r="E1243" s="381">
        <f t="shared" si="13"/>
        <v>236</v>
      </c>
      <c r="F1243" s="170">
        <f t="shared" si="13"/>
        <v>436.29999999999995</v>
      </c>
      <c r="G1243" s="170">
        <f t="shared" si="14"/>
        <v>0</v>
      </c>
      <c r="H1243" s="429"/>
      <c r="I1243" s="429"/>
      <c r="K1243" s="74"/>
    </row>
    <row r="1244" spans="1:11" ht="12.75" customHeight="1" hidden="1">
      <c r="A1244" s="6"/>
      <c r="B1244" s="81">
        <v>2230</v>
      </c>
      <c r="C1244" s="82" t="s">
        <v>48</v>
      </c>
      <c r="D1244" s="381">
        <f t="shared" si="13"/>
        <v>0</v>
      </c>
      <c r="E1244" s="381">
        <f t="shared" si="13"/>
        <v>0</v>
      </c>
      <c r="F1244" s="170">
        <f t="shared" si="13"/>
        <v>0</v>
      </c>
      <c r="G1244" s="170">
        <f t="shared" si="14"/>
        <v>0</v>
      </c>
      <c r="H1244" s="429"/>
      <c r="I1244" s="429"/>
      <c r="K1244" s="74"/>
    </row>
    <row r="1245" spans="1:11" ht="12.75">
      <c r="A1245" s="6"/>
      <c r="B1245" s="81">
        <v>2240</v>
      </c>
      <c r="C1245" s="82" t="s">
        <v>49</v>
      </c>
      <c r="D1245" s="381">
        <f t="shared" si="13"/>
        <v>20876.5</v>
      </c>
      <c r="E1245" s="381">
        <f t="shared" si="13"/>
        <v>26615.7</v>
      </c>
      <c r="F1245" s="170">
        <f t="shared" si="13"/>
        <v>28143</v>
      </c>
      <c r="G1245" s="170">
        <f t="shared" si="14"/>
        <v>858.1</v>
      </c>
      <c r="H1245" s="429"/>
      <c r="I1245" s="429"/>
      <c r="K1245" s="74" t="s">
        <v>157</v>
      </c>
    </row>
    <row r="1246" spans="1:14" ht="12.75">
      <c r="A1246" s="6"/>
      <c r="B1246" s="81">
        <v>2250</v>
      </c>
      <c r="C1246" s="82" t="s">
        <v>50</v>
      </c>
      <c r="D1246" s="381">
        <f aca="true" t="shared" si="15" ref="D1246:F1247">D772+D809+D847+D904+D942+D999+D1036+D1094+D1132+D1189</f>
        <v>16815.190000000002</v>
      </c>
      <c r="E1246" s="381">
        <f t="shared" si="15"/>
        <v>18799.134000000002</v>
      </c>
      <c r="F1246" s="170">
        <f t="shared" si="15"/>
        <v>20513.6</v>
      </c>
      <c r="G1246" s="170">
        <f t="shared" si="14"/>
        <v>382.1</v>
      </c>
      <c r="H1246" s="429"/>
      <c r="I1246" s="429"/>
      <c r="K1246" s="74"/>
      <c r="M1246">
        <v>2210</v>
      </c>
      <c r="N1246">
        <v>956.3</v>
      </c>
    </row>
    <row r="1247" spans="1:11" ht="12.75" hidden="1">
      <c r="A1247" s="6"/>
      <c r="B1247" s="81">
        <v>2260</v>
      </c>
      <c r="C1247" s="82" t="s">
        <v>51</v>
      </c>
      <c r="D1247" s="381">
        <f t="shared" si="15"/>
        <v>0</v>
      </c>
      <c r="E1247" s="381">
        <f t="shared" si="15"/>
        <v>0</v>
      </c>
      <c r="F1247" s="170">
        <f t="shared" si="15"/>
        <v>0</v>
      </c>
      <c r="G1247" s="170">
        <f t="shared" si="14"/>
        <v>0</v>
      </c>
      <c r="H1247" s="429"/>
      <c r="I1247" s="429"/>
      <c r="K1247" s="74"/>
    </row>
    <row r="1248" spans="1:14" ht="12.75">
      <c r="A1248" s="6"/>
      <c r="B1248" s="79">
        <v>2270</v>
      </c>
      <c r="C1248" s="80" t="s">
        <v>52</v>
      </c>
      <c r="D1248" s="379">
        <f>D1249+D1250+D1251+D1252+D1253+D1254</f>
        <v>190.24</v>
      </c>
      <c r="E1248" s="379">
        <f>E1249+E1250+E1251+E1252+E1253+E1254</f>
        <v>571.1</v>
      </c>
      <c r="F1248" s="47">
        <f>F1249+F1250+F1251+F1252+F1253+F1254</f>
        <v>622.8</v>
      </c>
      <c r="G1248" s="152">
        <f>G1249+G1250+G1251+G1252+G1253+G1254</f>
        <v>0</v>
      </c>
      <c r="H1248" s="429"/>
      <c r="I1248" s="429"/>
      <c r="J1248" s="74" t="s">
        <v>156</v>
      </c>
      <c r="K1248" s="74">
        <v>1250</v>
      </c>
      <c r="M1248">
        <v>2240</v>
      </c>
      <c r="N1248">
        <v>665.2</v>
      </c>
    </row>
    <row r="1249" spans="1:14" ht="12.75">
      <c r="A1249" s="6"/>
      <c r="B1249" s="81">
        <v>2271</v>
      </c>
      <c r="C1249" s="82" t="s">
        <v>53</v>
      </c>
      <c r="D1249" s="381">
        <f aca="true" t="shared" si="16" ref="D1249:F1252">D775+D812+D850+D907+D945+D1002+D1039+D1097+D1135+D1192</f>
        <v>57.74</v>
      </c>
      <c r="E1249" s="381">
        <f t="shared" si="16"/>
        <v>192</v>
      </c>
      <c r="F1249" s="170">
        <f t="shared" si="16"/>
        <v>227.9</v>
      </c>
      <c r="G1249" s="170">
        <f aca="true" t="shared" si="17" ref="G1249:G1254">G775+G812+G850+G907+G945+G1002+G1039+G1097+G1135+G1192</f>
        <v>0</v>
      </c>
      <c r="H1249" s="429"/>
      <c r="I1249" s="429"/>
      <c r="K1249" s="74"/>
      <c r="M1249">
        <v>2610</v>
      </c>
      <c r="N1249">
        <f>N1250+O1250</f>
        <v>133.1</v>
      </c>
    </row>
    <row r="1250" spans="1:15" ht="12.75">
      <c r="A1250" s="6"/>
      <c r="B1250" s="81">
        <v>2272</v>
      </c>
      <c r="C1250" s="82" t="s">
        <v>54</v>
      </c>
      <c r="D1250" s="381">
        <f t="shared" si="16"/>
        <v>8.04</v>
      </c>
      <c r="E1250" s="381">
        <f t="shared" si="16"/>
        <v>45.4</v>
      </c>
      <c r="F1250" s="170">
        <f t="shared" si="16"/>
        <v>81.19999999999999</v>
      </c>
      <c r="G1250" s="170">
        <f t="shared" si="17"/>
        <v>0</v>
      </c>
      <c r="H1250" s="429"/>
      <c r="I1250" s="429"/>
      <c r="K1250" s="74"/>
      <c r="N1250" s="74">
        <v>109.1</v>
      </c>
      <c r="O1250" s="74">
        <v>24</v>
      </c>
    </row>
    <row r="1251" spans="1:11" ht="12.75">
      <c r="A1251" s="6"/>
      <c r="B1251" s="81">
        <v>2273</v>
      </c>
      <c r="C1251" s="82" t="s">
        <v>55</v>
      </c>
      <c r="D1251" s="381">
        <f t="shared" si="16"/>
        <v>54.440000000000005</v>
      </c>
      <c r="E1251" s="381">
        <f t="shared" si="16"/>
        <v>222.79999999999998</v>
      </c>
      <c r="F1251" s="170">
        <f t="shared" si="16"/>
        <v>192.7</v>
      </c>
      <c r="G1251" s="170">
        <f t="shared" si="17"/>
        <v>0</v>
      </c>
      <c r="H1251" s="429"/>
      <c r="I1251" s="429"/>
      <c r="K1251" s="74"/>
    </row>
    <row r="1252" spans="1:11" ht="12.75">
      <c r="A1252" s="6"/>
      <c r="B1252" s="81">
        <v>2274</v>
      </c>
      <c r="C1252" s="82" t="s">
        <v>56</v>
      </c>
      <c r="D1252" s="381">
        <f t="shared" si="16"/>
        <v>34.38</v>
      </c>
      <c r="E1252" s="381">
        <f t="shared" si="16"/>
        <v>55</v>
      </c>
      <c r="F1252" s="170">
        <f t="shared" si="16"/>
        <v>61</v>
      </c>
      <c r="G1252" s="170">
        <f t="shared" si="17"/>
        <v>0</v>
      </c>
      <c r="H1252" s="429"/>
      <c r="I1252" s="429"/>
      <c r="J1252" s="74">
        <v>13072.9</v>
      </c>
      <c r="K1252" s="74"/>
    </row>
    <row r="1253" spans="1:11" ht="12.75">
      <c r="A1253" s="6"/>
      <c r="B1253" s="81">
        <v>2275</v>
      </c>
      <c r="C1253" s="82" t="s">
        <v>57</v>
      </c>
      <c r="D1253" s="381">
        <f aca="true" t="shared" si="18" ref="D1253:F1254">D779+D816+D854+D911+D949+D1006+D1043+D1101+D1139+D1196</f>
        <v>35.64</v>
      </c>
      <c r="E1253" s="381">
        <f t="shared" si="18"/>
        <v>55.9</v>
      </c>
      <c r="F1253" s="170">
        <f t="shared" si="18"/>
        <v>60</v>
      </c>
      <c r="G1253" s="170">
        <f t="shared" si="17"/>
        <v>0</v>
      </c>
      <c r="H1253" s="429"/>
      <c r="I1253" s="429"/>
      <c r="J1253" s="74">
        <v>702.3</v>
      </c>
      <c r="K1253" s="74"/>
    </row>
    <row r="1254" spans="1:11" ht="12.75" customHeight="1" hidden="1">
      <c r="A1254" s="6"/>
      <c r="B1254" s="84">
        <v>2276</v>
      </c>
      <c r="C1254" s="85" t="s">
        <v>58</v>
      </c>
      <c r="D1254" s="381">
        <f t="shared" si="18"/>
        <v>0</v>
      </c>
      <c r="E1254" s="381">
        <f t="shared" si="18"/>
        <v>0</v>
      </c>
      <c r="F1254" s="170">
        <f t="shared" si="18"/>
        <v>0</v>
      </c>
      <c r="G1254" s="170">
        <f t="shared" si="17"/>
        <v>0</v>
      </c>
      <c r="H1254" s="429"/>
      <c r="I1254" s="429"/>
      <c r="K1254" s="74"/>
    </row>
    <row r="1255" spans="1:11" ht="12.75">
      <c r="A1255" s="6"/>
      <c r="B1255" s="79">
        <v>2280</v>
      </c>
      <c r="C1255" s="80" t="s">
        <v>59</v>
      </c>
      <c r="D1255" s="379">
        <f>D1256+D1257</f>
        <v>13.84</v>
      </c>
      <c r="E1255" s="379">
        <f>E1256+E1257</f>
        <v>61.6</v>
      </c>
      <c r="F1255" s="47">
        <f>F1256+F1257</f>
        <v>62.3</v>
      </c>
      <c r="G1255" s="152">
        <f>G1256+G1257</f>
        <v>0</v>
      </c>
      <c r="H1255" s="429"/>
      <c r="I1255" s="429"/>
      <c r="J1255" s="74">
        <v>328.1</v>
      </c>
      <c r="K1255" s="74"/>
    </row>
    <row r="1256" spans="1:11" ht="12.75" customHeight="1" hidden="1">
      <c r="A1256" s="6"/>
      <c r="B1256" s="81">
        <v>2281</v>
      </c>
      <c r="C1256" s="82" t="s">
        <v>60</v>
      </c>
      <c r="D1256" s="381">
        <f aca="true" t="shared" si="19" ref="D1256:G1257">D782+D819+D857+D914+D952+D1009+D1046+D1104+D1142+D1199</f>
        <v>0</v>
      </c>
      <c r="E1256" s="381">
        <f t="shared" si="19"/>
        <v>0</v>
      </c>
      <c r="F1256" s="170">
        <f t="shared" si="19"/>
        <v>0</v>
      </c>
      <c r="G1256" s="170">
        <f t="shared" si="19"/>
        <v>0</v>
      </c>
      <c r="H1256" s="429"/>
      <c r="I1256" s="429"/>
      <c r="K1256" s="74"/>
    </row>
    <row r="1257" spans="1:11" ht="12.75">
      <c r="A1257" s="6"/>
      <c r="B1257" s="81">
        <v>2282</v>
      </c>
      <c r="C1257" s="82" t="s">
        <v>61</v>
      </c>
      <c r="D1257" s="381">
        <f t="shared" si="19"/>
        <v>13.84</v>
      </c>
      <c r="E1257" s="381">
        <f t="shared" si="19"/>
        <v>61.6</v>
      </c>
      <c r="F1257" s="170">
        <f t="shared" si="19"/>
        <v>62.3</v>
      </c>
      <c r="G1257" s="170">
        <f t="shared" si="19"/>
        <v>0</v>
      </c>
      <c r="H1257" s="429"/>
      <c r="I1257" s="429"/>
      <c r="K1257" s="74"/>
    </row>
    <row r="1258" spans="1:11" ht="12.75" customHeight="1" hidden="1">
      <c r="A1258" s="6"/>
      <c r="B1258" s="79">
        <v>2400</v>
      </c>
      <c r="C1258" s="80" t="s">
        <v>62</v>
      </c>
      <c r="D1258" s="381">
        <f>D1259+D1260</f>
        <v>0</v>
      </c>
      <c r="E1258" s="381">
        <f>E1259+E1260</f>
        <v>0</v>
      </c>
      <c r="F1258" s="50">
        <f>F1259+F1260</f>
        <v>0</v>
      </c>
      <c r="G1258" s="170">
        <f>G1259+G1260</f>
        <v>0</v>
      </c>
      <c r="H1258" s="429"/>
      <c r="I1258" s="429"/>
      <c r="K1258" s="74"/>
    </row>
    <row r="1259" spans="1:11" ht="12.75" customHeight="1" hidden="1">
      <c r="A1259" s="6"/>
      <c r="B1259" s="81">
        <v>2410</v>
      </c>
      <c r="C1259" s="82" t="s">
        <v>63</v>
      </c>
      <c r="D1259" s="381">
        <f aca="true" t="shared" si="20" ref="D1259:G1260">D785+D822+D860+D917+D955+D1012+D1049+D1107+D1145+D1202</f>
        <v>0</v>
      </c>
      <c r="E1259" s="381">
        <f t="shared" si="20"/>
        <v>0</v>
      </c>
      <c r="F1259" s="170">
        <f t="shared" si="20"/>
        <v>0</v>
      </c>
      <c r="G1259" s="170">
        <f t="shared" si="20"/>
        <v>0</v>
      </c>
      <c r="H1259" s="429"/>
      <c r="I1259" s="429"/>
      <c r="K1259" s="74"/>
    </row>
    <row r="1260" spans="1:11" ht="12.75" customHeight="1" hidden="1">
      <c r="A1260" s="6"/>
      <c r="B1260" s="81">
        <v>2420</v>
      </c>
      <c r="C1260" s="82" t="s">
        <v>64</v>
      </c>
      <c r="D1260" s="381">
        <f t="shared" si="20"/>
        <v>0</v>
      </c>
      <c r="E1260" s="381">
        <f t="shared" si="20"/>
        <v>0</v>
      </c>
      <c r="F1260" s="170">
        <f t="shared" si="20"/>
        <v>0</v>
      </c>
      <c r="G1260" s="170">
        <f t="shared" si="20"/>
        <v>0</v>
      </c>
      <c r="H1260" s="429"/>
      <c r="I1260" s="429"/>
      <c r="K1260" s="74"/>
    </row>
    <row r="1261" spans="1:11" ht="12.75">
      <c r="A1261" s="6"/>
      <c r="B1261" s="79">
        <v>2600</v>
      </c>
      <c r="C1261" s="80" t="s">
        <v>65</v>
      </c>
      <c r="D1261" s="379">
        <f>D1262+D1263+D1264</f>
        <v>11291.94</v>
      </c>
      <c r="E1261" s="379">
        <f>E1262+E1263+E1264</f>
        <v>12929.2</v>
      </c>
      <c r="F1261" s="47">
        <f>F1262+F1263+F1264</f>
        <v>14103.3</v>
      </c>
      <c r="G1261" s="152">
        <f>G1262+G1263+G1264</f>
        <v>1429.7</v>
      </c>
      <c r="H1261" s="429"/>
      <c r="I1261" s="429"/>
      <c r="K1261" s="74"/>
    </row>
    <row r="1262" spans="1:10" ht="12.75">
      <c r="A1262" s="6"/>
      <c r="B1262" s="81">
        <v>2610</v>
      </c>
      <c r="C1262" s="82" t="s">
        <v>66</v>
      </c>
      <c r="D1262" s="381">
        <f aca="true" t="shared" si="21" ref="D1262:G1264">D788+D825+D863+D920+D958+D1015+D1052+D1110+D1148+D1205</f>
        <v>11291.94</v>
      </c>
      <c r="E1262" s="381">
        <f t="shared" si="21"/>
        <v>12929.2</v>
      </c>
      <c r="F1262" s="170">
        <f t="shared" si="21"/>
        <v>14103.3</v>
      </c>
      <c r="G1262" s="170">
        <f t="shared" si="21"/>
        <v>1429.7</v>
      </c>
      <c r="H1262" s="429"/>
      <c r="I1262" s="429"/>
      <c r="J1262" s="74">
        <v>287.8</v>
      </c>
    </row>
    <row r="1263" spans="1:9" ht="12.75" customHeight="1" hidden="1">
      <c r="A1263" s="6"/>
      <c r="B1263" s="81">
        <v>2620</v>
      </c>
      <c r="C1263" s="82" t="s">
        <v>67</v>
      </c>
      <c r="D1263" s="381">
        <f t="shared" si="21"/>
        <v>0</v>
      </c>
      <c r="E1263" s="381">
        <f t="shared" si="21"/>
        <v>0</v>
      </c>
      <c r="F1263" s="170">
        <f t="shared" si="21"/>
        <v>0</v>
      </c>
      <c r="G1263" s="170">
        <f t="shared" si="21"/>
        <v>0</v>
      </c>
      <c r="H1263" s="429"/>
      <c r="I1263" s="429"/>
    </row>
    <row r="1264" spans="1:9" ht="12.75" customHeight="1" hidden="1">
      <c r="A1264" s="6"/>
      <c r="B1264" s="81">
        <v>2630</v>
      </c>
      <c r="C1264" s="82" t="s">
        <v>68</v>
      </c>
      <c r="D1264" s="381">
        <f t="shared" si="21"/>
        <v>0</v>
      </c>
      <c r="E1264" s="381">
        <f t="shared" si="21"/>
        <v>0</v>
      </c>
      <c r="F1264" s="170">
        <f t="shared" si="21"/>
        <v>0</v>
      </c>
      <c r="G1264" s="170">
        <f t="shared" si="21"/>
        <v>0</v>
      </c>
      <c r="H1264" s="429"/>
      <c r="I1264" s="429"/>
    </row>
    <row r="1265" spans="1:10" ht="12.75">
      <c r="A1265" s="6"/>
      <c r="B1265" s="79">
        <v>2700</v>
      </c>
      <c r="C1265" s="80" t="s">
        <v>69</v>
      </c>
      <c r="D1265" s="379">
        <f>D1266+D1267+D1268</f>
        <v>6967.6</v>
      </c>
      <c r="E1265" s="379">
        <f>E1266+E1267+E1268</f>
        <v>8700.1</v>
      </c>
      <c r="F1265" s="47">
        <f>F1266+F1267+F1268</f>
        <v>9304</v>
      </c>
      <c r="G1265" s="152">
        <f>G1266+G1267+G1268</f>
        <v>1000</v>
      </c>
      <c r="H1265" s="429"/>
      <c r="I1265" s="429"/>
      <c r="J1265" s="74">
        <v>50</v>
      </c>
    </row>
    <row r="1266" spans="1:9" ht="12.75" customHeight="1" hidden="1">
      <c r="A1266" s="6"/>
      <c r="B1266" s="81">
        <v>2710</v>
      </c>
      <c r="C1266" s="82" t="s">
        <v>70</v>
      </c>
      <c r="D1266" s="381">
        <f aca="true" t="shared" si="22" ref="D1266:F1267">D792+D829+D867+D924+D962+D1019+D1056+D1114+D1152+D1209</f>
        <v>0</v>
      </c>
      <c r="E1266" s="381">
        <f t="shared" si="22"/>
        <v>0</v>
      </c>
      <c r="F1266" s="170">
        <f t="shared" si="22"/>
        <v>0</v>
      </c>
      <c r="G1266" s="170">
        <f>G792+G829+G867+G924+G962+G1019+G1056+G1114+G1152+G1209</f>
        <v>0</v>
      </c>
      <c r="H1266" s="429"/>
      <c r="I1266" s="429"/>
    </row>
    <row r="1267" spans="1:9" ht="12.75" customHeight="1" hidden="1">
      <c r="A1267" s="6"/>
      <c r="B1267" s="81">
        <v>2720</v>
      </c>
      <c r="C1267" s="82" t="s">
        <v>71</v>
      </c>
      <c r="D1267" s="381">
        <f t="shared" si="22"/>
        <v>0</v>
      </c>
      <c r="E1267" s="381">
        <f t="shared" si="22"/>
        <v>0</v>
      </c>
      <c r="F1267" s="170">
        <f t="shared" si="22"/>
        <v>0</v>
      </c>
      <c r="G1267" s="170">
        <f>G793+G830+G868+G925+G963+G1020+G1057+G1115+G1153+G1210</f>
        <v>0</v>
      </c>
      <c r="H1267" s="429"/>
      <c r="I1267" s="429"/>
    </row>
    <row r="1268" spans="1:10" ht="12.75">
      <c r="A1268" s="6"/>
      <c r="B1268" s="81">
        <v>2730</v>
      </c>
      <c r="C1268" s="82" t="s">
        <v>72</v>
      </c>
      <c r="D1268" s="381">
        <f aca="true" t="shared" si="23" ref="D1268:F1269">D794+D831+D869+D926+D964+D1021+D1058+D1116+D1154+D1211</f>
        <v>6967.6</v>
      </c>
      <c r="E1268" s="381">
        <f t="shared" si="23"/>
        <v>8700.1</v>
      </c>
      <c r="F1268" s="170">
        <f t="shared" si="23"/>
        <v>9304</v>
      </c>
      <c r="G1268" s="170">
        <f>G794+G831+G869+G926+G964+G1021+G1058+G1116+G1154+G1211</f>
        <v>1000</v>
      </c>
      <c r="H1268" s="429"/>
      <c r="I1268" s="429"/>
      <c r="J1268" s="359">
        <f>G1262-J1262-J1265</f>
        <v>1091.9</v>
      </c>
    </row>
    <row r="1269" spans="1:9" ht="12.75">
      <c r="A1269" s="6"/>
      <c r="B1269" s="79">
        <v>2800</v>
      </c>
      <c r="C1269" s="80" t="s">
        <v>73</v>
      </c>
      <c r="D1269" s="381">
        <f t="shared" si="23"/>
        <v>12.73</v>
      </c>
      <c r="E1269" s="381">
        <f t="shared" si="23"/>
        <v>57.230000000000004</v>
      </c>
      <c r="F1269" s="170">
        <f t="shared" si="23"/>
        <v>3.6</v>
      </c>
      <c r="G1269" s="170">
        <f>G795+G832+G870+G927+G965+G1022+G1059+G1117+G1155+G1212</f>
        <v>0</v>
      </c>
      <c r="H1269" s="429"/>
      <c r="I1269" s="429"/>
    </row>
    <row r="1270" spans="1:9" ht="13.5" customHeight="1">
      <c r="A1270" s="21"/>
      <c r="B1270" s="79">
        <v>3000</v>
      </c>
      <c r="C1270" s="80" t="s">
        <v>40</v>
      </c>
      <c r="D1270" s="382">
        <f>D1271+D1285</f>
        <v>83584.66</v>
      </c>
      <c r="E1270" s="382">
        <f>E1271+E1285</f>
        <v>4822.9</v>
      </c>
      <c r="F1270" s="122">
        <f>F1271+F1285</f>
        <v>0</v>
      </c>
      <c r="G1270" s="122">
        <f>G1271+G1285</f>
        <v>1996.7</v>
      </c>
      <c r="H1270" s="429"/>
      <c r="I1270" s="429"/>
    </row>
    <row r="1271" spans="1:10" ht="13.5" customHeight="1">
      <c r="A1271" s="21"/>
      <c r="B1271" s="79">
        <v>3100</v>
      </c>
      <c r="C1271" s="80" t="s">
        <v>41</v>
      </c>
      <c r="D1271" s="382">
        <f>D1272+D1273+D1276+D1279+D1283+D1284+D1285</f>
        <v>83584.66</v>
      </c>
      <c r="E1271" s="382">
        <f>E1272+E1273+E1276+E1279+E1283+E1284+E1285</f>
        <v>4822.9</v>
      </c>
      <c r="F1271" s="122">
        <f>F1272+F1273+F1276+F1279+F1283+F1284+F1285</f>
        <v>0</v>
      </c>
      <c r="G1271" s="122">
        <f>G1272+G1273+G1276+G1279+G1283+G1284+G1285</f>
        <v>1996.7</v>
      </c>
      <c r="H1271" s="429"/>
      <c r="I1271" s="429"/>
      <c r="J1271" s="351"/>
    </row>
    <row r="1272" spans="1:10" ht="13.5" customHeight="1">
      <c r="A1272" s="21"/>
      <c r="B1272" s="81">
        <v>3110</v>
      </c>
      <c r="C1272" s="82" t="s">
        <v>74</v>
      </c>
      <c r="D1272" s="381">
        <f>D1215+D1158+D1062+D968+D873</f>
        <v>82241.57</v>
      </c>
      <c r="E1272" s="381">
        <f>E1215+E1158+E1062+E968+E873</f>
        <v>4582.9</v>
      </c>
      <c r="F1272" s="170">
        <f>F1215+F1158+F1062+F968+F873</f>
        <v>0</v>
      </c>
      <c r="G1272" s="170">
        <f>G1215+G1158+G1062+G968+G873</f>
        <v>1996.7</v>
      </c>
      <c r="H1272" s="429"/>
      <c r="I1272" s="429"/>
      <c r="J1272" s="359">
        <f>G1272-G1215</f>
        <v>1988.2</v>
      </c>
    </row>
    <row r="1273" spans="1:9" ht="12.75" customHeight="1" hidden="1">
      <c r="A1273" s="21"/>
      <c r="B1273" s="81">
        <v>3120</v>
      </c>
      <c r="C1273" s="82" t="s">
        <v>75</v>
      </c>
      <c r="D1273" s="382">
        <f>D1274+D1275</f>
        <v>0</v>
      </c>
      <c r="E1273" s="382">
        <f>E1274+E1275</f>
        <v>0</v>
      </c>
      <c r="F1273" s="122">
        <f>F1274+F1275</f>
        <v>0</v>
      </c>
      <c r="G1273" s="122">
        <f>G1274+G1275</f>
        <v>0</v>
      </c>
      <c r="H1273" s="429"/>
      <c r="I1273" s="429"/>
    </row>
    <row r="1274" spans="1:9" ht="12.75" customHeight="1" hidden="1">
      <c r="A1274" s="21"/>
      <c r="B1274" s="81">
        <v>3121</v>
      </c>
      <c r="C1274" s="82" t="s">
        <v>76</v>
      </c>
      <c r="D1274" s="381">
        <f aca="true" t="shared" si="24" ref="D1274:F1275">D1217+D1160+D1064+D970+D875</f>
        <v>0</v>
      </c>
      <c r="E1274" s="381">
        <f t="shared" si="24"/>
        <v>0</v>
      </c>
      <c r="F1274" s="170">
        <f t="shared" si="24"/>
        <v>0</v>
      </c>
      <c r="G1274" s="170">
        <f>G1217+G1160+G1064+G970+G875</f>
        <v>0</v>
      </c>
      <c r="H1274" s="429"/>
      <c r="I1274" s="429"/>
    </row>
    <row r="1275" spans="1:9" ht="12.75" customHeight="1" hidden="1">
      <c r="A1275" s="21"/>
      <c r="B1275" s="81">
        <v>3122</v>
      </c>
      <c r="C1275" s="82" t="s">
        <v>77</v>
      </c>
      <c r="D1275" s="381">
        <f t="shared" si="24"/>
        <v>0</v>
      </c>
      <c r="E1275" s="381">
        <f t="shared" si="24"/>
        <v>0</v>
      </c>
      <c r="F1275" s="170">
        <f t="shared" si="24"/>
        <v>0</v>
      </c>
      <c r="G1275" s="170">
        <f>G1218+G1161+G1065+G971+G876</f>
        <v>0</v>
      </c>
      <c r="H1275" s="429"/>
      <c r="I1275" s="429"/>
    </row>
    <row r="1276" spans="1:9" ht="12.75">
      <c r="A1276" s="21"/>
      <c r="B1276" s="81">
        <v>3130</v>
      </c>
      <c r="C1276" s="82" t="s">
        <v>78</v>
      </c>
      <c r="D1276" s="382">
        <f>D1277+D1278</f>
        <v>1343.09</v>
      </c>
      <c r="E1276" s="382">
        <f>E1277+E1278</f>
        <v>240</v>
      </c>
      <c r="F1276" s="122">
        <f>F1277+F1278</f>
        <v>0</v>
      </c>
      <c r="G1276" s="122">
        <f>G1277+G1278</f>
        <v>0</v>
      </c>
      <c r="H1276" s="429"/>
      <c r="I1276" s="429"/>
    </row>
    <row r="1277" spans="1:9" ht="12.75" customHeight="1" hidden="1">
      <c r="A1277" s="21"/>
      <c r="B1277" s="81">
        <v>3131</v>
      </c>
      <c r="C1277" s="82" t="s">
        <v>79</v>
      </c>
      <c r="D1277" s="381">
        <f aca="true" t="shared" si="25" ref="D1277:F1278">D1220+D1163+D1067+D973+D878</f>
        <v>0</v>
      </c>
      <c r="E1277" s="381">
        <f t="shared" si="25"/>
        <v>0</v>
      </c>
      <c r="F1277" s="170">
        <f t="shared" si="25"/>
        <v>0</v>
      </c>
      <c r="G1277" s="170">
        <f>G1220+G1163+G1067+G973+G878</f>
        <v>0</v>
      </c>
      <c r="H1277" s="429"/>
      <c r="I1277" s="429"/>
    </row>
    <row r="1278" spans="1:9" ht="12.75">
      <c r="A1278" s="21"/>
      <c r="B1278" s="81">
        <v>3132</v>
      </c>
      <c r="C1278" s="82" t="s">
        <v>80</v>
      </c>
      <c r="D1278" s="381">
        <f t="shared" si="25"/>
        <v>1343.09</v>
      </c>
      <c r="E1278" s="381">
        <f t="shared" si="25"/>
        <v>240</v>
      </c>
      <c r="F1278" s="170">
        <f t="shared" si="25"/>
        <v>0</v>
      </c>
      <c r="G1278" s="170">
        <f>G1221+G1164+G1068+G974+G879</f>
        <v>0</v>
      </c>
      <c r="H1278" s="429"/>
      <c r="I1278" s="429"/>
    </row>
    <row r="1279" spans="1:9" ht="12.75" customHeight="1" hidden="1">
      <c r="A1279" s="21"/>
      <c r="B1279" s="81">
        <v>3140</v>
      </c>
      <c r="C1279" s="82" t="s">
        <v>81</v>
      </c>
      <c r="D1279" s="382">
        <f>D1280+D1281+D1282</f>
        <v>0</v>
      </c>
      <c r="E1279" s="382">
        <f>E1280+E1281+E1282</f>
        <v>0</v>
      </c>
      <c r="F1279" s="122">
        <f>F1280+F1281+F1282</f>
        <v>0</v>
      </c>
      <c r="G1279" s="122">
        <f>G1280+G1281+G1282</f>
        <v>0</v>
      </c>
      <c r="H1279" s="429"/>
      <c r="I1279" s="429"/>
    </row>
    <row r="1280" spans="1:9" ht="12.75" customHeight="1" hidden="1">
      <c r="A1280" s="21"/>
      <c r="B1280" s="81">
        <v>3141</v>
      </c>
      <c r="C1280" s="82" t="s">
        <v>82</v>
      </c>
      <c r="D1280" s="381">
        <f aca="true" t="shared" si="26" ref="D1280:F1284">D1223+D1166+D1070+D976+D881</f>
        <v>0</v>
      </c>
      <c r="E1280" s="381">
        <f t="shared" si="26"/>
        <v>0</v>
      </c>
      <c r="F1280" s="170">
        <f t="shared" si="26"/>
        <v>0</v>
      </c>
      <c r="G1280" s="170">
        <f>G1223+G1166+G1070+G976+G881</f>
        <v>0</v>
      </c>
      <c r="H1280" s="429"/>
      <c r="I1280" s="429"/>
    </row>
    <row r="1281" spans="1:9" ht="12.75" customHeight="1" hidden="1">
      <c r="A1281" s="21"/>
      <c r="B1281" s="81">
        <v>3142</v>
      </c>
      <c r="C1281" s="82" t="s">
        <v>83</v>
      </c>
      <c r="D1281" s="381">
        <f t="shared" si="26"/>
        <v>0</v>
      </c>
      <c r="E1281" s="381">
        <f t="shared" si="26"/>
        <v>0</v>
      </c>
      <c r="F1281" s="170">
        <f t="shared" si="26"/>
        <v>0</v>
      </c>
      <c r="G1281" s="170">
        <f>G1224+G1167+G1071+G977+G882</f>
        <v>0</v>
      </c>
      <c r="H1281" s="429"/>
      <c r="I1281" s="429"/>
    </row>
    <row r="1282" spans="1:9" ht="12.75" customHeight="1" hidden="1">
      <c r="A1282" s="21"/>
      <c r="B1282" s="81">
        <v>3143</v>
      </c>
      <c r="C1282" s="82" t="s">
        <v>84</v>
      </c>
      <c r="D1282" s="381">
        <f t="shared" si="26"/>
        <v>0</v>
      </c>
      <c r="E1282" s="381">
        <f t="shared" si="26"/>
        <v>0</v>
      </c>
      <c r="F1282" s="170">
        <f t="shared" si="26"/>
        <v>0</v>
      </c>
      <c r="G1282" s="170">
        <f>G1225+G1168+G1072+G978+G883</f>
        <v>0</v>
      </c>
      <c r="H1282" s="429"/>
      <c r="I1282" s="429"/>
    </row>
    <row r="1283" spans="1:9" ht="12.75" customHeight="1" hidden="1">
      <c r="A1283" s="21"/>
      <c r="B1283" s="81">
        <v>3150</v>
      </c>
      <c r="C1283" s="82" t="s">
        <v>85</v>
      </c>
      <c r="D1283" s="381">
        <f t="shared" si="26"/>
        <v>0</v>
      </c>
      <c r="E1283" s="381">
        <f t="shared" si="26"/>
        <v>0</v>
      </c>
      <c r="F1283" s="170">
        <f t="shared" si="26"/>
        <v>0</v>
      </c>
      <c r="G1283" s="170">
        <f>G1226+G1169+G1073+G979+G884</f>
        <v>0</v>
      </c>
      <c r="H1283" s="429"/>
      <c r="I1283" s="429"/>
    </row>
    <row r="1284" spans="1:9" ht="12.75" customHeight="1" hidden="1">
      <c r="A1284" s="21"/>
      <c r="B1284" s="81">
        <v>3160</v>
      </c>
      <c r="C1284" s="82" t="s">
        <v>86</v>
      </c>
      <c r="D1284" s="381">
        <f t="shared" si="26"/>
        <v>0</v>
      </c>
      <c r="E1284" s="381">
        <f t="shared" si="26"/>
        <v>0</v>
      </c>
      <c r="F1284" s="170">
        <f t="shared" si="26"/>
        <v>0</v>
      </c>
      <c r="G1284" s="170">
        <f>G1227+G1170+G1074+G980+G885</f>
        <v>0</v>
      </c>
      <c r="H1284" s="429"/>
      <c r="I1284" s="429"/>
    </row>
    <row r="1285" spans="1:9" ht="12.75" customHeight="1" hidden="1">
      <c r="A1285" s="21"/>
      <c r="B1285" s="79">
        <v>3200</v>
      </c>
      <c r="C1285" s="80" t="s">
        <v>87</v>
      </c>
      <c r="D1285" s="382">
        <f>D1286+D1287+D1288+D1289</f>
        <v>0</v>
      </c>
      <c r="E1285" s="382">
        <f>E1286+E1287+E1288+E1289</f>
        <v>0</v>
      </c>
      <c r="F1285" s="122">
        <f>F1286+F1287+F1288+F1289</f>
        <v>0</v>
      </c>
      <c r="G1285" s="122">
        <f>G1286+G1287+G1288+G1289</f>
        <v>0</v>
      </c>
      <c r="H1285" s="429"/>
      <c r="I1285" s="429"/>
    </row>
    <row r="1286" spans="1:9" ht="12.75" customHeight="1" hidden="1">
      <c r="A1286" s="21"/>
      <c r="B1286" s="81">
        <v>3210</v>
      </c>
      <c r="C1286" s="82" t="s">
        <v>88</v>
      </c>
      <c r="D1286" s="381">
        <f aca="true" t="shared" si="27" ref="D1286:F1289">D1229+D1172+D1076+D982+D887</f>
        <v>0</v>
      </c>
      <c r="E1286" s="381">
        <f t="shared" si="27"/>
        <v>0</v>
      </c>
      <c r="F1286" s="170">
        <f t="shared" si="27"/>
        <v>0</v>
      </c>
      <c r="G1286" s="170">
        <f>G1229+G1172+G1076+G982+G887</f>
        <v>0</v>
      </c>
      <c r="H1286" s="429"/>
      <c r="I1286" s="429"/>
    </row>
    <row r="1287" spans="1:9" ht="12.75" customHeight="1" hidden="1">
      <c r="A1287" s="21"/>
      <c r="B1287" s="81">
        <v>3220</v>
      </c>
      <c r="C1287" s="82" t="s">
        <v>89</v>
      </c>
      <c r="D1287" s="381">
        <f t="shared" si="27"/>
        <v>0</v>
      </c>
      <c r="E1287" s="381">
        <f t="shared" si="27"/>
        <v>0</v>
      </c>
      <c r="F1287" s="170">
        <f t="shared" si="27"/>
        <v>0</v>
      </c>
      <c r="G1287" s="170">
        <f>G1230+G1173+G1077+G983+G888</f>
        <v>0</v>
      </c>
      <c r="H1287" s="429"/>
      <c r="I1287" s="429"/>
    </row>
    <row r="1288" spans="1:9" ht="12.75" customHeight="1" hidden="1">
      <c r="A1288" s="21"/>
      <c r="B1288" s="81">
        <v>3230</v>
      </c>
      <c r="C1288" s="82" t="s">
        <v>90</v>
      </c>
      <c r="D1288" s="381">
        <f t="shared" si="27"/>
        <v>0</v>
      </c>
      <c r="E1288" s="381">
        <f t="shared" si="27"/>
        <v>0</v>
      </c>
      <c r="F1288" s="170">
        <f t="shared" si="27"/>
        <v>0</v>
      </c>
      <c r="G1288" s="170">
        <f>G1231+G1174+G1078+G984+G889</f>
        <v>0</v>
      </c>
      <c r="H1288" s="429"/>
      <c r="I1288" s="429"/>
    </row>
    <row r="1289" spans="1:9" ht="12.75" customHeight="1" hidden="1">
      <c r="A1289" s="21"/>
      <c r="B1289" s="81">
        <v>3240</v>
      </c>
      <c r="C1289" s="82" t="s">
        <v>91</v>
      </c>
      <c r="D1289" s="381">
        <f t="shared" si="27"/>
        <v>0</v>
      </c>
      <c r="E1289" s="381">
        <f t="shared" si="27"/>
        <v>0</v>
      </c>
      <c r="F1289" s="170">
        <f t="shared" si="27"/>
        <v>0</v>
      </c>
      <c r="G1289" s="170">
        <f>G1232+G1175+G1079+G985+G890</f>
        <v>0</v>
      </c>
      <c r="H1289" s="429"/>
      <c r="I1289" s="429"/>
    </row>
    <row r="1290" spans="1:10" s="19" customFormat="1" ht="13.5" customHeight="1">
      <c r="A1290" s="7"/>
      <c r="B1290" s="77"/>
      <c r="C1290" s="83" t="s">
        <v>3</v>
      </c>
      <c r="D1290" s="381">
        <f>D1235+D1270</f>
        <v>176769.37</v>
      </c>
      <c r="E1290" s="381">
        <f>E1235+E1270</f>
        <v>117951.347</v>
      </c>
      <c r="F1290" s="50">
        <f>F1235+F1270</f>
        <v>123561.70000000001</v>
      </c>
      <c r="G1290" s="170">
        <f>G1235+G1270</f>
        <v>7684.2</v>
      </c>
      <c r="H1290" s="429"/>
      <c r="I1290" s="429"/>
      <c r="J1290" s="353"/>
    </row>
    <row r="1291" spans="2:10" s="165" customFormat="1" ht="12.75">
      <c r="B1291" s="169">
        <v>1110000</v>
      </c>
      <c r="C1291" s="169" t="s">
        <v>225</v>
      </c>
      <c r="D1291" s="385">
        <f>D1292+D1327</f>
        <v>243546.565</v>
      </c>
      <c r="E1291" s="385">
        <f>E1292+E1327</f>
        <v>215979.13699999996</v>
      </c>
      <c r="F1291" s="45">
        <f>F1292+F1327</f>
        <v>200240.29999999996</v>
      </c>
      <c r="G1291" s="45">
        <f>G1292+G1327</f>
        <v>31900.600000000002</v>
      </c>
      <c r="H1291" s="428"/>
      <c r="I1291" s="428"/>
      <c r="J1291" s="350"/>
    </row>
    <row r="1292" spans="1:9" ht="12.75">
      <c r="A1292" s="6"/>
      <c r="B1292" s="157">
        <v>2000</v>
      </c>
      <c r="C1292" s="158" t="s">
        <v>37</v>
      </c>
      <c r="D1292" s="379">
        <f>D1293+D1298+D1315+D1318+D1322+D1326</f>
        <v>153521.87</v>
      </c>
      <c r="E1292" s="379">
        <f>E1293+E1298+E1315+E1318+E1322+E1326</f>
        <v>198550.73699999996</v>
      </c>
      <c r="F1292" s="152">
        <f>F1293+F1298+F1315+F1318+F1322+F1326</f>
        <v>200240.29999999996</v>
      </c>
      <c r="G1292" s="152">
        <f>G1293+G1298+G1315+G1318+G1322+G1326</f>
        <v>18797.9</v>
      </c>
      <c r="H1292" s="429"/>
      <c r="I1292" s="429"/>
    </row>
    <row r="1293" spans="1:9" ht="12.75" customHeight="1">
      <c r="A1293" s="6"/>
      <c r="B1293" s="159">
        <v>2100</v>
      </c>
      <c r="C1293" s="160" t="s">
        <v>38</v>
      </c>
      <c r="D1293" s="380">
        <f>D1294+D1297</f>
        <v>55189.53</v>
      </c>
      <c r="E1293" s="380">
        <f>E1294+E1297</f>
        <v>70402.321</v>
      </c>
      <c r="F1293" s="164">
        <f>F1294+F1297</f>
        <v>77013.09999999999</v>
      </c>
      <c r="G1293" s="164">
        <f>G1294+G1297</f>
        <v>2280.1</v>
      </c>
      <c r="H1293" s="429"/>
      <c r="I1293" s="429"/>
    </row>
    <row r="1294" spans="1:9" ht="12.75">
      <c r="A1294" s="6"/>
      <c r="B1294" s="159">
        <v>2110</v>
      </c>
      <c r="C1294" s="160" t="s">
        <v>39</v>
      </c>
      <c r="D1294" s="380">
        <f>D1295+D1296</f>
        <v>45349.69</v>
      </c>
      <c r="E1294" s="380">
        <f>E1295+E1296</f>
        <v>57729.3</v>
      </c>
      <c r="F1294" s="164">
        <f>F1295+F1296</f>
        <v>63154.1</v>
      </c>
      <c r="G1294" s="164">
        <f>G1295+G1296</f>
        <v>1877.4999999999998</v>
      </c>
      <c r="H1294" s="429"/>
      <c r="I1294" s="429"/>
    </row>
    <row r="1295" spans="1:13" ht="12.75">
      <c r="A1295" s="6"/>
      <c r="B1295" s="159">
        <v>2111</v>
      </c>
      <c r="C1295" s="160" t="s">
        <v>42</v>
      </c>
      <c r="D1295" s="381">
        <f>D1238+D592+D75+D18</f>
        <v>45349.69</v>
      </c>
      <c r="E1295" s="381">
        <f>E1238+E592+E75+E18</f>
        <v>57729.3</v>
      </c>
      <c r="F1295" s="170">
        <f>F1238+F592+F75+F18</f>
        <v>63154.1</v>
      </c>
      <c r="G1295" s="170">
        <f>G1238+G592+G75+G18</f>
        <v>1877.4999999999998</v>
      </c>
      <c r="H1295" s="429"/>
      <c r="I1295" s="429"/>
      <c r="J1295" s="74">
        <v>697.9</v>
      </c>
      <c r="K1295" s="74"/>
      <c r="M1295" s="52">
        <f>F1295+J1295</f>
        <v>63852</v>
      </c>
    </row>
    <row r="1296" spans="1:13" ht="12.75" customHeight="1" hidden="1">
      <c r="A1296" s="6"/>
      <c r="B1296" s="159">
        <v>2112</v>
      </c>
      <c r="C1296" s="160" t="s">
        <v>43</v>
      </c>
      <c r="D1296" s="381">
        <f aca="true" t="shared" si="28" ref="D1296:F1297">D1239+D593+D76+D19</f>
        <v>0</v>
      </c>
      <c r="E1296" s="381">
        <f t="shared" si="28"/>
        <v>0</v>
      </c>
      <c r="F1296" s="170">
        <f t="shared" si="28"/>
        <v>0</v>
      </c>
      <c r="G1296" s="170">
        <f>G1239+G593+G76+G19</f>
        <v>0</v>
      </c>
      <c r="H1296" s="429"/>
      <c r="I1296" s="429"/>
      <c r="K1296" s="74"/>
      <c r="M1296" s="52">
        <f>F1296+J1296</f>
        <v>0</v>
      </c>
    </row>
    <row r="1297" spans="1:13" ht="12.75">
      <c r="A1297" s="6"/>
      <c r="B1297" s="159">
        <v>2120</v>
      </c>
      <c r="C1297" s="160" t="s">
        <v>44</v>
      </c>
      <c r="D1297" s="381">
        <f t="shared" si="28"/>
        <v>9839.84</v>
      </c>
      <c r="E1297" s="381">
        <f t="shared" si="28"/>
        <v>12673.021</v>
      </c>
      <c r="F1297" s="170">
        <f t="shared" si="28"/>
        <v>13858.999999999998</v>
      </c>
      <c r="G1297" s="170">
        <f>G1240+G594+G77+G20</f>
        <v>402.6</v>
      </c>
      <c r="H1297" s="429"/>
      <c r="I1297" s="429"/>
      <c r="J1297" s="74">
        <v>153.5</v>
      </c>
      <c r="K1297" s="74"/>
      <c r="M1297" s="52">
        <f>F1297+J1297</f>
        <v>14012.499999999998</v>
      </c>
    </row>
    <row r="1298" spans="1:11" ht="12.75">
      <c r="A1298" s="6"/>
      <c r="B1298" s="157">
        <v>2200</v>
      </c>
      <c r="C1298" s="158" t="s">
        <v>45</v>
      </c>
      <c r="D1298" s="379">
        <f>SUM(D1299:D1305)+D1312</f>
        <v>78862.77</v>
      </c>
      <c r="E1298" s="379">
        <f>SUM(E1299:E1305)+E1312</f>
        <v>101566.786</v>
      </c>
      <c r="F1298" s="152">
        <f>SUM(F1299:F1305)+F1312</f>
        <v>97813</v>
      </c>
      <c r="G1298" s="152">
        <f>SUM(G1299:G1305)+G1312</f>
        <v>11088.1</v>
      </c>
      <c r="H1298" s="429"/>
      <c r="I1298" s="429"/>
      <c r="K1298" s="74"/>
    </row>
    <row r="1299" spans="1:11" ht="12.75" customHeight="1">
      <c r="A1299" s="6"/>
      <c r="B1299" s="159">
        <v>2210</v>
      </c>
      <c r="C1299" s="160" t="s">
        <v>46</v>
      </c>
      <c r="D1299" s="381">
        <f aca="true" t="shared" si="29" ref="D1299:G1302">D1242+D596+D79+D22</f>
        <v>9012.45</v>
      </c>
      <c r="E1299" s="381">
        <f t="shared" si="29"/>
        <v>9023.689999999999</v>
      </c>
      <c r="F1299" s="170">
        <f t="shared" si="29"/>
        <v>7904.900000000001</v>
      </c>
      <c r="G1299" s="170">
        <f t="shared" si="29"/>
        <v>1425.3</v>
      </c>
      <c r="H1299" s="429"/>
      <c r="I1299" s="429"/>
      <c r="K1299" s="74"/>
    </row>
    <row r="1300" spans="1:11" ht="12.75" customHeight="1">
      <c r="A1300" s="6"/>
      <c r="B1300" s="159">
        <v>2220</v>
      </c>
      <c r="C1300" s="160" t="s">
        <v>47</v>
      </c>
      <c r="D1300" s="381">
        <f t="shared" si="29"/>
        <v>697.25</v>
      </c>
      <c r="E1300" s="381">
        <f t="shared" si="29"/>
        <v>908.9</v>
      </c>
      <c r="F1300" s="170">
        <f t="shared" si="29"/>
        <v>1210.6999999999998</v>
      </c>
      <c r="G1300" s="170">
        <f t="shared" si="29"/>
        <v>400</v>
      </c>
      <c r="H1300" s="429"/>
      <c r="I1300" s="429"/>
      <c r="K1300" s="74"/>
    </row>
    <row r="1301" spans="1:11" ht="12.75" customHeight="1">
      <c r="A1301" s="6"/>
      <c r="B1301" s="159">
        <v>2230</v>
      </c>
      <c r="C1301" s="160" t="s">
        <v>48</v>
      </c>
      <c r="D1301" s="381">
        <f t="shared" si="29"/>
        <v>5598.72</v>
      </c>
      <c r="E1301" s="381">
        <f t="shared" si="29"/>
        <v>8243.5</v>
      </c>
      <c r="F1301" s="170">
        <f t="shared" si="29"/>
        <v>9923.599999999999</v>
      </c>
      <c r="G1301" s="170">
        <f t="shared" si="29"/>
        <v>732.5</v>
      </c>
      <c r="H1301" s="429"/>
      <c r="I1301" s="429"/>
      <c r="K1301" s="74"/>
    </row>
    <row r="1302" spans="1:11" ht="12.75">
      <c r="A1302" s="6"/>
      <c r="B1302" s="159">
        <v>2240</v>
      </c>
      <c r="C1302" s="160" t="s">
        <v>49</v>
      </c>
      <c r="D1302" s="381">
        <f t="shared" si="29"/>
        <v>25599.05</v>
      </c>
      <c r="E1302" s="381">
        <f t="shared" si="29"/>
        <v>32418.162</v>
      </c>
      <c r="F1302" s="170">
        <f t="shared" si="29"/>
        <v>34610.7</v>
      </c>
      <c r="G1302" s="170">
        <f t="shared" si="29"/>
        <v>3892.2999999999997</v>
      </c>
      <c r="H1302" s="429"/>
      <c r="I1302" s="429"/>
      <c r="K1302" s="74" t="s">
        <v>157</v>
      </c>
    </row>
    <row r="1303" spans="1:14" ht="12.75">
      <c r="A1303" s="6"/>
      <c r="B1303" s="159">
        <v>2250</v>
      </c>
      <c r="C1303" s="160" t="s">
        <v>50</v>
      </c>
      <c r="D1303" s="381">
        <f aca="true" t="shared" si="30" ref="D1303:G1304">D1246+D600+D83+D26</f>
        <v>19762.530000000002</v>
      </c>
      <c r="E1303" s="381">
        <f t="shared" si="30"/>
        <v>22140.834000000003</v>
      </c>
      <c r="F1303" s="170">
        <f t="shared" si="30"/>
        <v>24344.5</v>
      </c>
      <c r="G1303" s="170">
        <f t="shared" si="30"/>
        <v>1382.1</v>
      </c>
      <c r="H1303" s="429"/>
      <c r="I1303" s="429"/>
      <c r="K1303" s="74"/>
      <c r="M1303">
        <v>2210</v>
      </c>
      <c r="N1303">
        <v>956.3</v>
      </c>
    </row>
    <row r="1304" spans="1:11" ht="12.75" hidden="1">
      <c r="A1304" s="6"/>
      <c r="B1304" s="159">
        <v>2260</v>
      </c>
      <c r="C1304" s="160" t="s">
        <v>51</v>
      </c>
      <c r="D1304" s="381">
        <f t="shared" si="30"/>
        <v>0</v>
      </c>
      <c r="E1304" s="381">
        <f t="shared" si="30"/>
        <v>0</v>
      </c>
      <c r="F1304" s="170">
        <f t="shared" si="30"/>
        <v>0</v>
      </c>
      <c r="G1304" s="170">
        <f t="shared" si="30"/>
        <v>0</v>
      </c>
      <c r="H1304" s="429"/>
      <c r="I1304" s="429"/>
      <c r="K1304" s="74"/>
    </row>
    <row r="1305" spans="1:14" ht="12.75">
      <c r="A1305" s="6"/>
      <c r="B1305" s="157">
        <v>2270</v>
      </c>
      <c r="C1305" s="158" t="s">
        <v>52</v>
      </c>
      <c r="D1305" s="379">
        <f>D1306+D1307+D1308+D1309+D1310+D1311</f>
        <v>2883.97</v>
      </c>
      <c r="E1305" s="379">
        <f>E1306+E1307+E1308+E1309+E1310+E1311</f>
        <v>4623.900000000001</v>
      </c>
      <c r="F1305" s="152">
        <f>F1306+F1307+F1308+F1309+F1310+F1311</f>
        <v>5076.000000000001</v>
      </c>
      <c r="G1305" s="152">
        <f>G1306+G1307+G1308+G1309+G1310+G1311</f>
        <v>255.89999999999998</v>
      </c>
      <c r="H1305" s="429"/>
      <c r="I1305" s="429"/>
      <c r="J1305" s="74" t="s">
        <v>156</v>
      </c>
      <c r="K1305" s="74">
        <v>1250</v>
      </c>
      <c r="M1305">
        <v>2240</v>
      </c>
      <c r="N1305">
        <v>665.2</v>
      </c>
    </row>
    <row r="1306" spans="1:14" ht="12.75">
      <c r="A1306" s="6"/>
      <c r="B1306" s="159">
        <v>2271</v>
      </c>
      <c r="C1306" s="160" t="s">
        <v>53</v>
      </c>
      <c r="D1306" s="381">
        <f aca="true" t="shared" si="31" ref="D1306:G1309">D1249+D603+D86+D29</f>
        <v>1495.9699999999998</v>
      </c>
      <c r="E1306" s="381">
        <f t="shared" si="31"/>
        <v>2500.7</v>
      </c>
      <c r="F1306" s="170">
        <f t="shared" si="31"/>
        <v>2896.5</v>
      </c>
      <c r="G1306" s="170">
        <f t="shared" si="31"/>
        <v>0</v>
      </c>
      <c r="H1306" s="429"/>
      <c r="I1306" s="429"/>
      <c r="K1306" s="74"/>
      <c r="M1306">
        <v>2610</v>
      </c>
      <c r="N1306">
        <f>N1307+O1307</f>
        <v>133.1</v>
      </c>
    </row>
    <row r="1307" spans="1:15" ht="12.75">
      <c r="A1307" s="6"/>
      <c r="B1307" s="159">
        <v>2272</v>
      </c>
      <c r="C1307" s="160" t="s">
        <v>54</v>
      </c>
      <c r="D1307" s="381">
        <f t="shared" si="31"/>
        <v>149.95999999999998</v>
      </c>
      <c r="E1307" s="381">
        <f t="shared" si="31"/>
        <v>340.9</v>
      </c>
      <c r="F1307" s="170">
        <f t="shared" si="31"/>
        <v>461.79999999999995</v>
      </c>
      <c r="G1307" s="170">
        <f t="shared" si="31"/>
        <v>70.6</v>
      </c>
      <c r="H1307" s="429"/>
      <c r="I1307" s="429"/>
      <c r="K1307" s="74"/>
      <c r="N1307" s="74">
        <v>109.1</v>
      </c>
      <c r="O1307" s="74">
        <v>24</v>
      </c>
    </row>
    <row r="1308" spans="1:11" ht="12.75">
      <c r="A1308" s="6"/>
      <c r="B1308" s="159">
        <v>2273</v>
      </c>
      <c r="C1308" s="160" t="s">
        <v>55</v>
      </c>
      <c r="D1308" s="381">
        <f t="shared" si="31"/>
        <v>1051.31</v>
      </c>
      <c r="E1308" s="381">
        <f t="shared" si="31"/>
        <v>1517.4</v>
      </c>
      <c r="F1308" s="170">
        <f t="shared" si="31"/>
        <v>1477.5</v>
      </c>
      <c r="G1308" s="170">
        <f t="shared" si="31"/>
        <v>113.3</v>
      </c>
      <c r="H1308" s="429"/>
      <c r="I1308" s="429"/>
      <c r="K1308" s="74"/>
    </row>
    <row r="1309" spans="1:11" ht="12.75">
      <c r="A1309" s="6"/>
      <c r="B1309" s="159">
        <v>2274</v>
      </c>
      <c r="C1309" s="160" t="s">
        <v>56</v>
      </c>
      <c r="D1309" s="381">
        <f t="shared" si="31"/>
        <v>75.18</v>
      </c>
      <c r="E1309" s="381">
        <f t="shared" si="31"/>
        <v>125.8</v>
      </c>
      <c r="F1309" s="170">
        <f t="shared" si="31"/>
        <v>131.6</v>
      </c>
      <c r="G1309" s="170">
        <f t="shared" si="31"/>
        <v>0</v>
      </c>
      <c r="H1309" s="429"/>
      <c r="I1309" s="429"/>
      <c r="K1309" s="74"/>
    </row>
    <row r="1310" spans="1:11" ht="12.75">
      <c r="A1310" s="6"/>
      <c r="B1310" s="159">
        <v>2275</v>
      </c>
      <c r="C1310" s="160" t="s">
        <v>57</v>
      </c>
      <c r="D1310" s="381">
        <f aca="true" t="shared" si="32" ref="D1310:G1311">D1253+D607+D90+D33</f>
        <v>111.55</v>
      </c>
      <c r="E1310" s="381">
        <f t="shared" si="32"/>
        <v>139.1</v>
      </c>
      <c r="F1310" s="170">
        <f t="shared" si="32"/>
        <v>108.6</v>
      </c>
      <c r="G1310" s="170">
        <f t="shared" si="32"/>
        <v>72</v>
      </c>
      <c r="H1310" s="429"/>
      <c r="I1310" s="429"/>
      <c r="K1310" s="74"/>
    </row>
    <row r="1311" spans="1:11" ht="12.75" customHeight="1" hidden="1">
      <c r="A1311" s="6"/>
      <c r="B1311" s="162">
        <v>2276</v>
      </c>
      <c r="C1311" s="163" t="s">
        <v>58</v>
      </c>
      <c r="D1311" s="381">
        <f t="shared" si="32"/>
        <v>0</v>
      </c>
      <c r="E1311" s="381">
        <f t="shared" si="32"/>
        <v>0</v>
      </c>
      <c r="F1311" s="170">
        <f t="shared" si="32"/>
        <v>0</v>
      </c>
      <c r="G1311" s="170">
        <f t="shared" si="32"/>
        <v>0</v>
      </c>
      <c r="H1311" s="429"/>
      <c r="I1311" s="429"/>
      <c r="K1311" s="74"/>
    </row>
    <row r="1312" spans="1:11" ht="12.75">
      <c r="A1312" s="6"/>
      <c r="B1312" s="157">
        <v>2280</v>
      </c>
      <c r="C1312" s="158" t="s">
        <v>59</v>
      </c>
      <c r="D1312" s="379">
        <f>D1313+D1314</f>
        <v>15308.8</v>
      </c>
      <c r="E1312" s="379">
        <f>E1313+E1314</f>
        <v>24207.8</v>
      </c>
      <c r="F1312" s="152">
        <f>F1313+F1314</f>
        <v>14742.6</v>
      </c>
      <c r="G1312" s="152">
        <f>G1313+G1314</f>
        <v>3000</v>
      </c>
      <c r="H1312" s="429"/>
      <c r="I1312" s="429"/>
      <c r="K1312" s="74"/>
    </row>
    <row r="1313" spans="1:11" ht="12.75" customHeight="1" hidden="1">
      <c r="A1313" s="6"/>
      <c r="B1313" s="159">
        <v>2281</v>
      </c>
      <c r="C1313" s="160" t="s">
        <v>60</v>
      </c>
      <c r="D1313" s="381">
        <f aca="true" t="shared" si="33" ref="D1313:G1314">D1256+D610+D93+D36</f>
        <v>0</v>
      </c>
      <c r="E1313" s="381">
        <f t="shared" si="33"/>
        <v>0</v>
      </c>
      <c r="F1313" s="170">
        <f t="shared" si="33"/>
        <v>0</v>
      </c>
      <c r="G1313" s="170">
        <f t="shared" si="33"/>
        <v>0</v>
      </c>
      <c r="H1313" s="429"/>
      <c r="I1313" s="429"/>
      <c r="K1313" s="74"/>
    </row>
    <row r="1314" spans="1:11" ht="12.75">
      <c r="A1314" s="6"/>
      <c r="B1314" s="159">
        <v>2282</v>
      </c>
      <c r="C1314" s="160" t="s">
        <v>61</v>
      </c>
      <c r="D1314" s="381">
        <f t="shared" si="33"/>
        <v>15308.8</v>
      </c>
      <c r="E1314" s="381">
        <f t="shared" si="33"/>
        <v>24207.8</v>
      </c>
      <c r="F1314" s="170">
        <f t="shared" si="33"/>
        <v>14742.6</v>
      </c>
      <c r="G1314" s="170">
        <f t="shared" si="33"/>
        <v>3000</v>
      </c>
      <c r="H1314" s="429"/>
      <c r="I1314" s="429"/>
      <c r="K1314" s="74"/>
    </row>
    <row r="1315" spans="1:11" ht="12.75" customHeight="1" hidden="1">
      <c r="A1315" s="6"/>
      <c r="B1315" s="157">
        <v>2400</v>
      </c>
      <c r="C1315" s="158" t="s">
        <v>62</v>
      </c>
      <c r="D1315" s="381">
        <f>D1316+D1317</f>
        <v>0</v>
      </c>
      <c r="E1315" s="381">
        <f>E1316+E1317</f>
        <v>0</v>
      </c>
      <c r="F1315" s="170">
        <f>F1316+F1317</f>
        <v>0</v>
      </c>
      <c r="G1315" s="170">
        <f>G1316+G1317</f>
        <v>0</v>
      </c>
      <c r="H1315" s="429"/>
      <c r="I1315" s="429"/>
      <c r="K1315" s="74"/>
    </row>
    <row r="1316" spans="1:11" ht="12.75" customHeight="1" hidden="1">
      <c r="A1316" s="6"/>
      <c r="B1316" s="159">
        <v>2410</v>
      </c>
      <c r="C1316" s="160" t="s">
        <v>63</v>
      </c>
      <c r="D1316" s="381">
        <f aca="true" t="shared" si="34" ref="D1316:G1317">D1259+D613+D96+D39</f>
        <v>0</v>
      </c>
      <c r="E1316" s="381">
        <f t="shared" si="34"/>
        <v>0</v>
      </c>
      <c r="F1316" s="170">
        <f t="shared" si="34"/>
        <v>0</v>
      </c>
      <c r="G1316" s="170">
        <f t="shared" si="34"/>
        <v>0</v>
      </c>
      <c r="H1316" s="429"/>
      <c r="I1316" s="429"/>
      <c r="K1316" s="74"/>
    </row>
    <row r="1317" spans="1:11" ht="12.75" customHeight="1" hidden="1">
      <c r="A1317" s="6"/>
      <c r="B1317" s="159">
        <v>2420</v>
      </c>
      <c r="C1317" s="160" t="s">
        <v>64</v>
      </c>
      <c r="D1317" s="381">
        <f t="shared" si="34"/>
        <v>0</v>
      </c>
      <c r="E1317" s="381">
        <f t="shared" si="34"/>
        <v>0</v>
      </c>
      <c r="F1317" s="170">
        <f t="shared" si="34"/>
        <v>0</v>
      </c>
      <c r="G1317" s="170">
        <f t="shared" si="34"/>
        <v>0</v>
      </c>
      <c r="H1317" s="429"/>
      <c r="I1317" s="429"/>
      <c r="K1317" s="74"/>
    </row>
    <row r="1318" spans="1:11" ht="12.75">
      <c r="A1318" s="6"/>
      <c r="B1318" s="157">
        <v>2600</v>
      </c>
      <c r="C1318" s="158" t="s">
        <v>65</v>
      </c>
      <c r="D1318" s="379">
        <f>D1319+D1320+D1321</f>
        <v>11765.220000000001</v>
      </c>
      <c r="E1318" s="379">
        <f>E1319+E1320+E1321</f>
        <v>13823</v>
      </c>
      <c r="F1318" s="152">
        <f>F1319+F1320+F1321</f>
        <v>15102.9</v>
      </c>
      <c r="G1318" s="152">
        <f>G1319+G1320+G1321</f>
        <v>1429.7</v>
      </c>
      <c r="H1318" s="429"/>
      <c r="I1318" s="429"/>
      <c r="K1318" s="74"/>
    </row>
    <row r="1319" spans="1:9" ht="12.75">
      <c r="A1319" s="6"/>
      <c r="B1319" s="159">
        <v>2610</v>
      </c>
      <c r="C1319" s="160" t="s">
        <v>66</v>
      </c>
      <c r="D1319" s="381">
        <f aca="true" t="shared" si="35" ref="D1319:G1321">D1262+D616+D99+D42</f>
        <v>11765.220000000001</v>
      </c>
      <c r="E1319" s="381">
        <f t="shared" si="35"/>
        <v>13823</v>
      </c>
      <c r="F1319" s="170">
        <f t="shared" si="35"/>
        <v>15102.9</v>
      </c>
      <c r="G1319" s="170">
        <f t="shared" si="35"/>
        <v>1429.7</v>
      </c>
      <c r="H1319" s="429"/>
      <c r="I1319" s="429"/>
    </row>
    <row r="1320" spans="1:9" ht="12.75" customHeight="1" hidden="1">
      <c r="A1320" s="6"/>
      <c r="B1320" s="159">
        <v>2620</v>
      </c>
      <c r="C1320" s="160" t="s">
        <v>67</v>
      </c>
      <c r="D1320" s="381">
        <f t="shared" si="35"/>
        <v>0</v>
      </c>
      <c r="E1320" s="381">
        <f t="shared" si="35"/>
        <v>0</v>
      </c>
      <c r="F1320" s="170">
        <f t="shared" si="35"/>
        <v>0</v>
      </c>
      <c r="G1320" s="170">
        <f t="shared" si="35"/>
        <v>0</v>
      </c>
      <c r="H1320" s="429"/>
      <c r="I1320" s="429"/>
    </row>
    <row r="1321" spans="1:9" ht="12.75" customHeight="1" hidden="1">
      <c r="A1321" s="6"/>
      <c r="B1321" s="159">
        <v>2630</v>
      </c>
      <c r="C1321" s="160" t="s">
        <v>68</v>
      </c>
      <c r="D1321" s="381">
        <f t="shared" si="35"/>
        <v>0</v>
      </c>
      <c r="E1321" s="381">
        <f t="shared" si="35"/>
        <v>0</v>
      </c>
      <c r="F1321" s="170">
        <f t="shared" si="35"/>
        <v>0</v>
      </c>
      <c r="G1321" s="170">
        <f t="shared" si="35"/>
        <v>0</v>
      </c>
      <c r="H1321" s="429"/>
      <c r="I1321" s="429"/>
    </row>
    <row r="1322" spans="1:9" ht="12.75">
      <c r="A1322" s="6"/>
      <c r="B1322" s="157">
        <v>2700</v>
      </c>
      <c r="C1322" s="158" t="s">
        <v>69</v>
      </c>
      <c r="D1322" s="379">
        <f>D1323+D1324+D1325</f>
        <v>7679.76</v>
      </c>
      <c r="E1322" s="379">
        <f>E1323+E1324+E1325</f>
        <v>12696.3</v>
      </c>
      <c r="F1322" s="152">
        <f>F1323+F1324+F1325</f>
        <v>10302.5</v>
      </c>
      <c r="G1322" s="152">
        <f>G1323+G1324+G1325</f>
        <v>4000</v>
      </c>
      <c r="H1322" s="429"/>
      <c r="I1322" s="429"/>
    </row>
    <row r="1323" spans="1:9" ht="12.75" customHeight="1" hidden="1">
      <c r="A1323" s="6"/>
      <c r="B1323" s="159">
        <v>2710</v>
      </c>
      <c r="C1323" s="160" t="s">
        <v>70</v>
      </c>
      <c r="D1323" s="381">
        <f aca="true" t="shared" si="36" ref="D1323:G1324">D1266+D620+D103+D46</f>
        <v>0</v>
      </c>
      <c r="E1323" s="381">
        <f t="shared" si="36"/>
        <v>0</v>
      </c>
      <c r="F1323" s="170">
        <f t="shared" si="36"/>
        <v>0</v>
      </c>
      <c r="G1323" s="170">
        <f t="shared" si="36"/>
        <v>0</v>
      </c>
      <c r="H1323" s="429"/>
      <c r="I1323" s="429"/>
    </row>
    <row r="1324" spans="1:9" ht="12.75" customHeight="1">
      <c r="A1324" s="6"/>
      <c r="B1324" s="159">
        <v>2720</v>
      </c>
      <c r="C1324" s="160" t="s">
        <v>71</v>
      </c>
      <c r="D1324" s="381">
        <f t="shared" si="36"/>
        <v>695.12</v>
      </c>
      <c r="E1324" s="381">
        <f t="shared" si="36"/>
        <v>957.4</v>
      </c>
      <c r="F1324" s="170">
        <f t="shared" si="36"/>
        <v>959.5</v>
      </c>
      <c r="G1324" s="170">
        <f t="shared" si="36"/>
        <v>0</v>
      </c>
      <c r="H1324" s="429"/>
      <c r="I1324" s="429"/>
    </row>
    <row r="1325" spans="1:9" ht="12.75">
      <c r="A1325" s="6"/>
      <c r="B1325" s="159">
        <v>2730</v>
      </c>
      <c r="C1325" s="160" t="s">
        <v>72</v>
      </c>
      <c r="D1325" s="381">
        <f aca="true" t="shared" si="37" ref="D1325:G1326">D1268+D622+D105+D48</f>
        <v>6984.64</v>
      </c>
      <c r="E1325" s="381">
        <f t="shared" si="37"/>
        <v>11738.9</v>
      </c>
      <c r="F1325" s="170">
        <f t="shared" si="37"/>
        <v>9343</v>
      </c>
      <c r="G1325" s="170">
        <f t="shared" si="37"/>
        <v>4000</v>
      </c>
      <c r="H1325" s="429"/>
      <c r="I1325" s="429"/>
    </row>
    <row r="1326" spans="1:9" ht="12.75">
      <c r="A1326" s="6"/>
      <c r="B1326" s="157">
        <v>2800</v>
      </c>
      <c r="C1326" s="158" t="s">
        <v>73</v>
      </c>
      <c r="D1326" s="381">
        <f t="shared" si="37"/>
        <v>24.590000000000003</v>
      </c>
      <c r="E1326" s="381">
        <f t="shared" si="37"/>
        <v>62.330000000000005</v>
      </c>
      <c r="F1326" s="170">
        <f t="shared" si="37"/>
        <v>8.8</v>
      </c>
      <c r="G1326" s="170">
        <f t="shared" si="37"/>
        <v>0</v>
      </c>
      <c r="H1326" s="429"/>
      <c r="I1326" s="429"/>
    </row>
    <row r="1327" spans="1:9" ht="13.5" customHeight="1">
      <c r="A1327" s="21"/>
      <c r="B1327" s="157">
        <v>3000</v>
      </c>
      <c r="C1327" s="158" t="s">
        <v>40</v>
      </c>
      <c r="D1327" s="382">
        <f>D1328+D1342</f>
        <v>90024.69500000002</v>
      </c>
      <c r="E1327" s="382">
        <f>E1328+E1342</f>
        <v>17428.4</v>
      </c>
      <c r="F1327" s="122">
        <f>F1328+F1342</f>
        <v>0</v>
      </c>
      <c r="G1327" s="122">
        <f>G1328+G1342</f>
        <v>13102.7</v>
      </c>
      <c r="H1327" s="429"/>
      <c r="I1327" s="429"/>
    </row>
    <row r="1328" spans="1:10" ht="13.5" customHeight="1">
      <c r="A1328" s="21"/>
      <c r="B1328" s="157">
        <v>3100</v>
      </c>
      <c r="C1328" s="158" t="s">
        <v>41</v>
      </c>
      <c r="D1328" s="382">
        <f>D1329+D1330+D1333+D1336+D1340+D1341+D1342</f>
        <v>90024.69500000002</v>
      </c>
      <c r="E1328" s="382">
        <f>E1329+E1330+E1333+E1336+E1340+E1341+E1342</f>
        <v>17428.4</v>
      </c>
      <c r="F1328" s="122">
        <f>F1329+F1330+F1333+F1336+F1340+F1341+F1342</f>
        <v>0</v>
      </c>
      <c r="G1328" s="122">
        <f>G1329+G1330+G1333+G1336+G1340+G1341+G1342</f>
        <v>13102.7</v>
      </c>
      <c r="H1328" s="429"/>
      <c r="I1328" s="429"/>
      <c r="J1328" s="351"/>
    </row>
    <row r="1329" spans="1:10" ht="13.5" customHeight="1">
      <c r="A1329" s="21"/>
      <c r="B1329" s="159">
        <v>3110</v>
      </c>
      <c r="C1329" s="160" t="s">
        <v>74</v>
      </c>
      <c r="D1329" s="381">
        <f>D1272+D626+D109+D52</f>
        <v>88631.75500000002</v>
      </c>
      <c r="E1329" s="381">
        <f>E1272+E626+E109+E52</f>
        <v>17188.4</v>
      </c>
      <c r="F1329" s="170">
        <f>F1272+F626+F109+F52</f>
        <v>0</v>
      </c>
      <c r="G1329" s="170">
        <f>G1272+G626+G109+G52</f>
        <v>13102.7</v>
      </c>
      <c r="H1329" s="429"/>
      <c r="I1329" s="429"/>
      <c r="J1329" s="359">
        <f>G1329-G1272</f>
        <v>11106</v>
      </c>
    </row>
    <row r="1330" spans="1:9" ht="12.75" customHeight="1" hidden="1">
      <c r="A1330" s="21"/>
      <c r="B1330" s="159">
        <v>3120</v>
      </c>
      <c r="C1330" s="160" t="s">
        <v>75</v>
      </c>
      <c r="D1330" s="382">
        <f>D1331+D1332</f>
        <v>0</v>
      </c>
      <c r="E1330" s="382">
        <f>E1331+E1332</f>
        <v>0</v>
      </c>
      <c r="F1330" s="122">
        <f>F1331+F1332</f>
        <v>0</v>
      </c>
      <c r="G1330" s="122">
        <f>G1331+G1332</f>
        <v>0</v>
      </c>
      <c r="H1330" s="429"/>
      <c r="I1330" s="429"/>
    </row>
    <row r="1331" spans="1:9" ht="12.75" customHeight="1" hidden="1">
      <c r="A1331" s="21"/>
      <c r="B1331" s="159">
        <v>3121</v>
      </c>
      <c r="C1331" s="160" t="s">
        <v>76</v>
      </c>
      <c r="D1331" s="381">
        <f aca="true" t="shared" si="38" ref="D1331:G1332">D1274+D628+D111+D54</f>
        <v>0</v>
      </c>
      <c r="E1331" s="381">
        <f t="shared" si="38"/>
        <v>0</v>
      </c>
      <c r="F1331" s="170">
        <f t="shared" si="38"/>
        <v>0</v>
      </c>
      <c r="G1331" s="170">
        <f t="shared" si="38"/>
        <v>0</v>
      </c>
      <c r="H1331" s="429"/>
      <c r="I1331" s="429"/>
    </row>
    <row r="1332" spans="1:9" ht="12.75" customHeight="1" hidden="1">
      <c r="A1332" s="21"/>
      <c r="B1332" s="159">
        <v>3122</v>
      </c>
      <c r="C1332" s="160" t="s">
        <v>77</v>
      </c>
      <c r="D1332" s="381">
        <f t="shared" si="38"/>
        <v>0</v>
      </c>
      <c r="E1332" s="381">
        <f t="shared" si="38"/>
        <v>0</v>
      </c>
      <c r="F1332" s="170">
        <f t="shared" si="38"/>
        <v>0</v>
      </c>
      <c r="G1332" s="170">
        <f t="shared" si="38"/>
        <v>0</v>
      </c>
      <c r="H1332" s="429"/>
      <c r="I1332" s="429"/>
    </row>
    <row r="1333" spans="1:9" ht="12.75">
      <c r="A1333" s="21"/>
      <c r="B1333" s="159">
        <v>3130</v>
      </c>
      <c r="C1333" s="160" t="s">
        <v>78</v>
      </c>
      <c r="D1333" s="382">
        <f>D1334+D1335</f>
        <v>1343.09</v>
      </c>
      <c r="E1333" s="382">
        <f>E1334+E1335</f>
        <v>240</v>
      </c>
      <c r="F1333" s="122">
        <f>F1334+F1335</f>
        <v>0</v>
      </c>
      <c r="G1333" s="122">
        <f>G1334+G1335</f>
        <v>0</v>
      </c>
      <c r="H1333" s="429"/>
      <c r="I1333" s="429"/>
    </row>
    <row r="1334" spans="1:9" ht="12.75" customHeight="1" hidden="1">
      <c r="A1334" s="21"/>
      <c r="B1334" s="159">
        <v>3131</v>
      </c>
      <c r="C1334" s="160" t="s">
        <v>79</v>
      </c>
      <c r="D1334" s="381">
        <f aca="true" t="shared" si="39" ref="D1334:G1335">D1277+D631+D114+D57</f>
        <v>0</v>
      </c>
      <c r="E1334" s="381">
        <f t="shared" si="39"/>
        <v>0</v>
      </c>
      <c r="F1334" s="170">
        <f t="shared" si="39"/>
        <v>0</v>
      </c>
      <c r="G1334" s="170">
        <f t="shared" si="39"/>
        <v>0</v>
      </c>
      <c r="H1334" s="429"/>
      <c r="I1334" s="429"/>
    </row>
    <row r="1335" spans="1:9" ht="12.75">
      <c r="A1335" s="21"/>
      <c r="B1335" s="159">
        <v>3132</v>
      </c>
      <c r="C1335" s="160" t="s">
        <v>80</v>
      </c>
      <c r="D1335" s="381">
        <f t="shared" si="39"/>
        <v>1343.09</v>
      </c>
      <c r="E1335" s="381">
        <f t="shared" si="39"/>
        <v>240</v>
      </c>
      <c r="F1335" s="170">
        <f t="shared" si="39"/>
        <v>0</v>
      </c>
      <c r="G1335" s="170">
        <f t="shared" si="39"/>
        <v>0</v>
      </c>
      <c r="H1335" s="429"/>
      <c r="I1335" s="429"/>
    </row>
    <row r="1336" spans="1:9" ht="12.75" customHeight="1">
      <c r="A1336" s="21"/>
      <c r="B1336" s="159">
        <v>3140</v>
      </c>
      <c r="C1336" s="160" t="s">
        <v>81</v>
      </c>
      <c r="D1336" s="382">
        <f>D1337+D1338+D1339</f>
        <v>49.85</v>
      </c>
      <c r="E1336" s="382">
        <f>E1337+E1338+E1339</f>
        <v>0</v>
      </c>
      <c r="F1336" s="122">
        <f>F1337+F1338+F1339</f>
        <v>0</v>
      </c>
      <c r="G1336" s="122">
        <f>G1337+G1338+G1339</f>
        <v>0</v>
      </c>
      <c r="H1336" s="429"/>
      <c r="I1336" s="429"/>
    </row>
    <row r="1337" spans="1:9" ht="12.75" customHeight="1" hidden="1">
      <c r="A1337" s="21"/>
      <c r="B1337" s="159">
        <v>3141</v>
      </c>
      <c r="C1337" s="160" t="s">
        <v>82</v>
      </c>
      <c r="D1337" s="381">
        <f aca="true" t="shared" si="40" ref="D1337:G1339">D1280+D634+D117+D60</f>
        <v>0</v>
      </c>
      <c r="E1337" s="381">
        <f t="shared" si="40"/>
        <v>0</v>
      </c>
      <c r="F1337" s="170">
        <f t="shared" si="40"/>
        <v>0</v>
      </c>
      <c r="G1337" s="170">
        <f t="shared" si="40"/>
        <v>0</v>
      </c>
      <c r="H1337" s="429"/>
      <c r="I1337" s="429"/>
    </row>
    <row r="1338" spans="1:9" ht="12.75" customHeight="1">
      <c r="A1338" s="21"/>
      <c r="B1338" s="159">
        <v>3142</v>
      </c>
      <c r="C1338" s="160" t="s">
        <v>83</v>
      </c>
      <c r="D1338" s="381">
        <f t="shared" si="40"/>
        <v>49.85</v>
      </c>
      <c r="E1338" s="381">
        <f t="shared" si="40"/>
        <v>0</v>
      </c>
      <c r="F1338" s="170">
        <f t="shared" si="40"/>
        <v>0</v>
      </c>
      <c r="G1338" s="170">
        <f t="shared" si="40"/>
        <v>0</v>
      </c>
      <c r="H1338" s="429"/>
      <c r="I1338" s="429"/>
    </row>
    <row r="1339" spans="1:9" ht="12.75" customHeight="1" hidden="1">
      <c r="A1339" s="21"/>
      <c r="B1339" s="159">
        <v>3143</v>
      </c>
      <c r="C1339" s="160" t="s">
        <v>84</v>
      </c>
      <c r="D1339" s="381">
        <f t="shared" si="40"/>
        <v>0</v>
      </c>
      <c r="E1339" s="381">
        <f t="shared" si="40"/>
        <v>0</v>
      </c>
      <c r="F1339" s="170">
        <f t="shared" si="40"/>
        <v>0</v>
      </c>
      <c r="G1339" s="170">
        <f t="shared" si="40"/>
        <v>0</v>
      </c>
      <c r="H1339" s="429"/>
      <c r="I1339" s="429"/>
    </row>
    <row r="1340" spans="1:9" ht="12.75" customHeight="1" hidden="1">
      <c r="A1340" s="21"/>
      <c r="B1340" s="159">
        <v>3150</v>
      </c>
      <c r="C1340" s="160" t="s">
        <v>85</v>
      </c>
      <c r="D1340" s="381">
        <f aca="true" t="shared" si="41" ref="D1340:G1341">D1283+D637+D120+D63</f>
        <v>0</v>
      </c>
      <c r="E1340" s="381">
        <f t="shared" si="41"/>
        <v>0</v>
      </c>
      <c r="F1340" s="170">
        <f t="shared" si="41"/>
        <v>0</v>
      </c>
      <c r="G1340" s="170">
        <f t="shared" si="41"/>
        <v>0</v>
      </c>
      <c r="H1340" s="429"/>
      <c r="I1340" s="429"/>
    </row>
    <row r="1341" spans="1:9" ht="12.75" customHeight="1" hidden="1">
      <c r="A1341" s="21"/>
      <c r="B1341" s="159">
        <v>3160</v>
      </c>
      <c r="C1341" s="160" t="s">
        <v>86</v>
      </c>
      <c r="D1341" s="381">
        <f t="shared" si="41"/>
        <v>0</v>
      </c>
      <c r="E1341" s="381">
        <f t="shared" si="41"/>
        <v>0</v>
      </c>
      <c r="F1341" s="170">
        <f t="shared" si="41"/>
        <v>0</v>
      </c>
      <c r="G1341" s="170">
        <f t="shared" si="41"/>
        <v>0</v>
      </c>
      <c r="H1341" s="429"/>
      <c r="I1341" s="429"/>
    </row>
    <row r="1342" spans="1:9" ht="12.75" customHeight="1" hidden="1">
      <c r="A1342" s="21"/>
      <c r="B1342" s="157">
        <v>3200</v>
      </c>
      <c r="C1342" s="158" t="s">
        <v>87</v>
      </c>
      <c r="D1342" s="382">
        <f>D1343+D1344+D1345+D1346</f>
        <v>0</v>
      </c>
      <c r="E1342" s="382">
        <f>E1343+E1344+E1345+E1346</f>
        <v>0</v>
      </c>
      <c r="F1342" s="122">
        <f>F1343+F1344+F1345+F1346</f>
        <v>0</v>
      </c>
      <c r="G1342" s="122">
        <f>G1343+G1344+G1345+G1346</f>
        <v>0</v>
      </c>
      <c r="H1342" s="429"/>
      <c r="I1342" s="429"/>
    </row>
    <row r="1343" spans="1:9" ht="12.75" customHeight="1" hidden="1">
      <c r="A1343" s="21"/>
      <c r="B1343" s="159">
        <v>3210</v>
      </c>
      <c r="C1343" s="160" t="s">
        <v>88</v>
      </c>
      <c r="D1343" s="381">
        <f aca="true" t="shared" si="42" ref="D1343:G1344">D1286+D640+D123+D66</f>
        <v>0</v>
      </c>
      <c r="E1343" s="381">
        <f t="shared" si="42"/>
        <v>0</v>
      </c>
      <c r="F1343" s="170">
        <f t="shared" si="42"/>
        <v>0</v>
      </c>
      <c r="G1343" s="170">
        <f t="shared" si="42"/>
        <v>0</v>
      </c>
      <c r="H1343" s="429"/>
      <c r="I1343" s="429"/>
    </row>
    <row r="1344" spans="1:9" ht="12.75" customHeight="1" hidden="1">
      <c r="A1344" s="21"/>
      <c r="B1344" s="159">
        <v>3220</v>
      </c>
      <c r="C1344" s="160" t="s">
        <v>89</v>
      </c>
      <c r="D1344" s="381">
        <f t="shared" si="42"/>
        <v>0</v>
      </c>
      <c r="E1344" s="381">
        <f t="shared" si="42"/>
        <v>0</v>
      </c>
      <c r="F1344" s="170">
        <f t="shared" si="42"/>
        <v>0</v>
      </c>
      <c r="G1344" s="170">
        <f t="shared" si="42"/>
        <v>0</v>
      </c>
      <c r="H1344" s="429"/>
      <c r="I1344" s="429"/>
    </row>
    <row r="1345" spans="1:9" ht="12.75" customHeight="1" hidden="1">
      <c r="A1345" s="21"/>
      <c r="B1345" s="159">
        <v>3230</v>
      </c>
      <c r="C1345" s="160" t="s">
        <v>90</v>
      </c>
      <c r="D1345" s="381">
        <f aca="true" t="shared" si="43" ref="D1345:G1346">D1288+D642+D125+D68</f>
        <v>0</v>
      </c>
      <c r="E1345" s="381">
        <f t="shared" si="43"/>
        <v>0</v>
      </c>
      <c r="F1345" s="170">
        <f t="shared" si="43"/>
        <v>0</v>
      </c>
      <c r="G1345" s="170">
        <f t="shared" si="43"/>
        <v>0</v>
      </c>
      <c r="H1345" s="429"/>
      <c r="I1345" s="429"/>
    </row>
    <row r="1346" spans="1:9" ht="12.75" customHeight="1" hidden="1">
      <c r="A1346" s="21"/>
      <c r="B1346" s="159">
        <v>3240</v>
      </c>
      <c r="C1346" s="160" t="s">
        <v>91</v>
      </c>
      <c r="D1346" s="381">
        <f t="shared" si="43"/>
        <v>0</v>
      </c>
      <c r="E1346" s="381">
        <f t="shared" si="43"/>
        <v>0</v>
      </c>
      <c r="F1346" s="170">
        <f t="shared" si="43"/>
        <v>0</v>
      </c>
      <c r="G1346" s="170">
        <f t="shared" si="43"/>
        <v>0</v>
      </c>
      <c r="H1346" s="429"/>
      <c r="I1346" s="429"/>
    </row>
    <row r="1347" spans="1:10" s="19" customFormat="1" ht="13.5" customHeight="1">
      <c r="A1347" s="7"/>
      <c r="B1347" s="154"/>
      <c r="C1347" s="161" t="s">
        <v>3</v>
      </c>
      <c r="D1347" s="381">
        <f>D1292+D1327</f>
        <v>243546.565</v>
      </c>
      <c r="E1347" s="381">
        <f>E1292+E1327</f>
        <v>215979.13699999996</v>
      </c>
      <c r="F1347" s="170">
        <f>F1292+F1327</f>
        <v>200240.29999999996</v>
      </c>
      <c r="G1347" s="170">
        <f>G1292+G1327</f>
        <v>31900.600000000002</v>
      </c>
      <c r="H1347" s="429"/>
      <c r="I1347" s="429"/>
      <c r="J1347" s="353"/>
    </row>
    <row r="1348" spans="2:10" s="55" customFormat="1" ht="12.75">
      <c r="B1348" s="169">
        <v>1116080</v>
      </c>
      <c r="C1348" s="169" t="s">
        <v>226</v>
      </c>
      <c r="D1348" s="385">
        <f>D1349</f>
        <v>0</v>
      </c>
      <c r="E1348" s="385">
        <f>E1349</f>
        <v>6972.3</v>
      </c>
      <c r="F1348" s="45">
        <f>F1349</f>
        <v>0</v>
      </c>
      <c r="G1348" s="45">
        <f>G1349</f>
        <v>2000</v>
      </c>
      <c r="H1348" s="428"/>
      <c r="I1348" s="428"/>
      <c r="J1348" s="360"/>
    </row>
    <row r="1349" spans="2:10" s="153" customFormat="1" ht="12.75">
      <c r="B1349" s="151">
        <v>1116082</v>
      </c>
      <c r="C1349" s="151" t="s">
        <v>227</v>
      </c>
      <c r="D1349" s="379">
        <f>D1350+D1385</f>
        <v>0</v>
      </c>
      <c r="E1349" s="379">
        <f>E1350+E1385</f>
        <v>6972.3</v>
      </c>
      <c r="F1349" s="152">
        <f>F1350+F1385</f>
        <v>0</v>
      </c>
      <c r="G1349" s="152">
        <f>G1350+G1385</f>
        <v>2000</v>
      </c>
      <c r="H1349" s="429"/>
      <c r="I1349" s="429"/>
      <c r="J1349" s="354"/>
    </row>
    <row r="1350" spans="1:9" ht="12.75" hidden="1">
      <c r="A1350" s="6"/>
      <c r="B1350" s="27">
        <v>2000</v>
      </c>
      <c r="C1350" s="28" t="s">
        <v>37</v>
      </c>
      <c r="D1350" s="370">
        <f>D1351+D1356+D1373+D1376+D1380+D1384</f>
        <v>0</v>
      </c>
      <c r="E1350" s="370">
        <f>E1351+E1356+E1373+E1376+E1380+E1384</f>
        <v>0</v>
      </c>
      <c r="F1350" s="33">
        <f>F1351+F1356+F1373+F1376+F1380+F1384</f>
        <v>0</v>
      </c>
      <c r="G1350" s="33">
        <f>G1351+G1356+G1373+G1376+G1380+G1384</f>
        <v>0</v>
      </c>
      <c r="H1350" s="402"/>
      <c r="I1350" s="402"/>
    </row>
    <row r="1351" spans="1:9" ht="12.75" customHeight="1" hidden="1">
      <c r="A1351" s="6"/>
      <c r="B1351" s="29">
        <v>2100</v>
      </c>
      <c r="C1351" s="30" t="s">
        <v>38</v>
      </c>
      <c r="D1351" s="371">
        <f>D1352+D1355</f>
        <v>0</v>
      </c>
      <c r="E1351" s="371">
        <f>E1352+E1355</f>
        <v>0</v>
      </c>
      <c r="F1351" s="35">
        <f>F1352+F1355</f>
        <v>0</v>
      </c>
      <c r="G1351" s="35">
        <f>G1352+G1355</f>
        <v>0</v>
      </c>
      <c r="H1351" s="402"/>
      <c r="I1351" s="402"/>
    </row>
    <row r="1352" spans="1:9" ht="12.75" hidden="1">
      <c r="A1352" s="6"/>
      <c r="B1352" s="29">
        <v>2110</v>
      </c>
      <c r="C1352" s="30" t="s">
        <v>39</v>
      </c>
      <c r="D1352" s="371">
        <f>D1353+D1354</f>
        <v>0</v>
      </c>
      <c r="E1352" s="371">
        <f>E1353+E1354</f>
        <v>0</v>
      </c>
      <c r="F1352" s="35">
        <f>F1353+F1354</f>
        <v>0</v>
      </c>
      <c r="G1352" s="35">
        <f>G1353+G1354</f>
        <v>0</v>
      </c>
      <c r="H1352" s="402"/>
      <c r="I1352" s="402"/>
    </row>
    <row r="1353" spans="1:9" ht="12.75" hidden="1">
      <c r="A1353" s="6"/>
      <c r="B1353" s="29">
        <v>2111</v>
      </c>
      <c r="C1353" s="30" t="s">
        <v>42</v>
      </c>
      <c r="D1353" s="372"/>
      <c r="E1353" s="372"/>
      <c r="F1353" s="34"/>
      <c r="G1353" s="34"/>
      <c r="H1353" s="402"/>
      <c r="I1353" s="402"/>
    </row>
    <row r="1354" spans="1:9" ht="12.75" customHeight="1" hidden="1">
      <c r="A1354" s="6"/>
      <c r="B1354" s="29">
        <v>2112</v>
      </c>
      <c r="C1354" s="30" t="s">
        <v>43</v>
      </c>
      <c r="D1354" s="372"/>
      <c r="E1354" s="372"/>
      <c r="F1354" s="34"/>
      <c r="G1354" s="34"/>
      <c r="H1354" s="402"/>
      <c r="I1354" s="402"/>
    </row>
    <row r="1355" spans="1:9" ht="12.75" hidden="1">
      <c r="A1355" s="6"/>
      <c r="B1355" s="29">
        <v>2120</v>
      </c>
      <c r="C1355" s="30" t="s">
        <v>44</v>
      </c>
      <c r="D1355" s="372"/>
      <c r="E1355" s="372"/>
      <c r="F1355" s="34"/>
      <c r="G1355" s="34"/>
      <c r="H1355" s="402"/>
      <c r="I1355" s="402"/>
    </row>
    <row r="1356" spans="1:9" ht="12.75" hidden="1">
      <c r="A1356" s="6"/>
      <c r="B1356" s="27">
        <v>2200</v>
      </c>
      <c r="C1356" s="28" t="s">
        <v>45</v>
      </c>
      <c r="D1356" s="370">
        <f>SUM(D1357:D1363)+D1370</f>
        <v>0</v>
      </c>
      <c r="E1356" s="370">
        <f>SUM(E1357:E1363)+E1370</f>
        <v>0</v>
      </c>
      <c r="F1356" s="33">
        <f>SUM(F1357:F1363)+F1370</f>
        <v>0</v>
      </c>
      <c r="G1356" s="33">
        <f>SUM(G1357:G1363)+G1370</f>
        <v>0</v>
      </c>
      <c r="H1356" s="402"/>
      <c r="I1356" s="402"/>
    </row>
    <row r="1357" spans="1:9" ht="12.75" customHeight="1" hidden="1">
      <c r="A1357" s="6"/>
      <c r="B1357" s="29">
        <v>2210</v>
      </c>
      <c r="C1357" s="30" t="s">
        <v>46</v>
      </c>
      <c r="D1357" s="372"/>
      <c r="E1357" s="372"/>
      <c r="F1357" s="34"/>
      <c r="G1357" s="34"/>
      <c r="H1357" s="402"/>
      <c r="I1357" s="402"/>
    </row>
    <row r="1358" spans="1:9" ht="12.75" customHeight="1" hidden="1">
      <c r="A1358" s="6"/>
      <c r="B1358" s="29">
        <v>2220</v>
      </c>
      <c r="C1358" s="30" t="s">
        <v>47</v>
      </c>
      <c r="D1358" s="372"/>
      <c r="E1358" s="372"/>
      <c r="F1358" s="34"/>
      <c r="G1358" s="34"/>
      <c r="H1358" s="402"/>
      <c r="I1358" s="402"/>
    </row>
    <row r="1359" spans="1:9" ht="12.75" customHeight="1" hidden="1">
      <c r="A1359" s="6"/>
      <c r="B1359" s="29">
        <v>2230</v>
      </c>
      <c r="C1359" s="30" t="s">
        <v>48</v>
      </c>
      <c r="D1359" s="372"/>
      <c r="E1359" s="372"/>
      <c r="F1359" s="34"/>
      <c r="G1359" s="34"/>
      <c r="H1359" s="402"/>
      <c r="I1359" s="402"/>
    </row>
    <row r="1360" spans="1:9" ht="12.75" hidden="1">
      <c r="A1360" s="6"/>
      <c r="B1360" s="29">
        <v>2240</v>
      </c>
      <c r="C1360" s="30" t="s">
        <v>49</v>
      </c>
      <c r="D1360" s="372"/>
      <c r="E1360" s="372"/>
      <c r="F1360" s="34"/>
      <c r="G1360" s="34"/>
      <c r="H1360" s="402"/>
      <c r="I1360" s="402"/>
    </row>
    <row r="1361" spans="1:9" ht="12.75" hidden="1">
      <c r="A1361" s="6"/>
      <c r="B1361" s="29">
        <v>2250</v>
      </c>
      <c r="C1361" s="30" t="s">
        <v>50</v>
      </c>
      <c r="D1361" s="372"/>
      <c r="E1361" s="372"/>
      <c r="F1361" s="34"/>
      <c r="G1361" s="34"/>
      <c r="H1361" s="402"/>
      <c r="I1361" s="402"/>
    </row>
    <row r="1362" spans="1:9" ht="12.75" customHeight="1" hidden="1">
      <c r="A1362" s="6"/>
      <c r="B1362" s="29">
        <v>2260</v>
      </c>
      <c r="C1362" s="30" t="s">
        <v>51</v>
      </c>
      <c r="D1362" s="372"/>
      <c r="E1362" s="372"/>
      <c r="F1362" s="34"/>
      <c r="G1362" s="34"/>
      <c r="H1362" s="402"/>
      <c r="I1362" s="402"/>
    </row>
    <row r="1363" spans="1:9" ht="12.75" hidden="1">
      <c r="A1363" s="6"/>
      <c r="B1363" s="27">
        <v>2270</v>
      </c>
      <c r="C1363" s="28" t="s">
        <v>52</v>
      </c>
      <c r="D1363" s="370">
        <f>D1364+D1365+D1366+D1367+D1368+D1369</f>
        <v>0</v>
      </c>
      <c r="E1363" s="370">
        <f>E1364+E1365+E1366+E1367+E1368+E1369</f>
        <v>0</v>
      </c>
      <c r="F1363" s="33">
        <f>F1364+F1365+F1366+F1367+F1368+F1369</f>
        <v>0</v>
      </c>
      <c r="G1363" s="33">
        <f>G1364+G1365+G1366+G1367+G1368+G1369</f>
        <v>0</v>
      </c>
      <c r="H1363" s="402"/>
      <c r="I1363" s="402"/>
    </row>
    <row r="1364" spans="1:9" ht="12.75" hidden="1">
      <c r="A1364" s="6"/>
      <c r="B1364" s="29">
        <v>2271</v>
      </c>
      <c r="C1364" s="30" t="s">
        <v>53</v>
      </c>
      <c r="D1364" s="372"/>
      <c r="E1364" s="372"/>
      <c r="F1364" s="34"/>
      <c r="G1364" s="34"/>
      <c r="H1364" s="402"/>
      <c r="I1364" s="402"/>
    </row>
    <row r="1365" spans="1:9" ht="12.75" hidden="1">
      <c r="A1365" s="6"/>
      <c r="B1365" s="29">
        <v>2272</v>
      </c>
      <c r="C1365" s="30" t="s">
        <v>54</v>
      </c>
      <c r="D1365" s="372"/>
      <c r="E1365" s="372"/>
      <c r="F1365" s="34"/>
      <c r="G1365" s="34"/>
      <c r="H1365" s="402"/>
      <c r="I1365" s="402"/>
    </row>
    <row r="1366" spans="1:9" ht="12.75" hidden="1">
      <c r="A1366" s="6"/>
      <c r="B1366" s="29">
        <v>2273</v>
      </c>
      <c r="C1366" s="30" t="s">
        <v>55</v>
      </c>
      <c r="D1366" s="372"/>
      <c r="E1366" s="372"/>
      <c r="F1366" s="34"/>
      <c r="G1366" s="34"/>
      <c r="H1366" s="402"/>
      <c r="I1366" s="402"/>
    </row>
    <row r="1367" spans="1:9" ht="12.75" customHeight="1" hidden="1">
      <c r="A1367" s="6"/>
      <c r="B1367" s="29">
        <v>2274</v>
      </c>
      <c r="C1367" s="30" t="s">
        <v>56</v>
      </c>
      <c r="D1367" s="372"/>
      <c r="E1367" s="372"/>
      <c r="F1367" s="34"/>
      <c r="G1367" s="34"/>
      <c r="H1367" s="402"/>
      <c r="I1367" s="402"/>
    </row>
    <row r="1368" spans="1:9" ht="12.75" customHeight="1" hidden="1">
      <c r="A1368" s="6"/>
      <c r="B1368" s="29">
        <v>2275</v>
      </c>
      <c r="C1368" s="30" t="s">
        <v>57</v>
      </c>
      <c r="D1368" s="372"/>
      <c r="E1368" s="372"/>
      <c r="F1368" s="34"/>
      <c r="G1368" s="34"/>
      <c r="H1368" s="402"/>
      <c r="I1368" s="402"/>
    </row>
    <row r="1369" spans="1:9" ht="12.75" customHeight="1" hidden="1">
      <c r="A1369" s="6"/>
      <c r="B1369" s="31">
        <v>2276</v>
      </c>
      <c r="C1369" s="32" t="s">
        <v>58</v>
      </c>
      <c r="D1369" s="372"/>
      <c r="E1369" s="372"/>
      <c r="F1369" s="34"/>
      <c r="G1369" s="34"/>
      <c r="H1369" s="402"/>
      <c r="I1369" s="402"/>
    </row>
    <row r="1370" spans="1:9" ht="12.75" customHeight="1" hidden="1">
      <c r="A1370" s="6"/>
      <c r="B1370" s="27">
        <v>2280</v>
      </c>
      <c r="C1370" s="28" t="s">
        <v>59</v>
      </c>
      <c r="D1370" s="370">
        <f>D1371+D1372</f>
        <v>0</v>
      </c>
      <c r="E1370" s="370">
        <f>E1371+E1372</f>
        <v>0</v>
      </c>
      <c r="F1370" s="33">
        <f>F1371+F1372</f>
        <v>0</v>
      </c>
      <c r="G1370" s="33">
        <f>G1371+G1372</f>
        <v>0</v>
      </c>
      <c r="H1370" s="402"/>
      <c r="I1370" s="402"/>
    </row>
    <row r="1371" spans="1:9" ht="12.75" customHeight="1" hidden="1">
      <c r="A1371" s="6"/>
      <c r="B1371" s="29">
        <v>2281</v>
      </c>
      <c r="C1371" s="30" t="s">
        <v>60</v>
      </c>
      <c r="D1371" s="372"/>
      <c r="E1371" s="372"/>
      <c r="F1371" s="34"/>
      <c r="G1371" s="34"/>
      <c r="H1371" s="402"/>
      <c r="I1371" s="402"/>
    </row>
    <row r="1372" spans="1:9" ht="12.75" customHeight="1" hidden="1">
      <c r="A1372" s="6"/>
      <c r="B1372" s="29">
        <v>2282</v>
      </c>
      <c r="C1372" s="30" t="s">
        <v>61</v>
      </c>
      <c r="D1372" s="372"/>
      <c r="E1372" s="372"/>
      <c r="F1372" s="34"/>
      <c r="G1372" s="34"/>
      <c r="H1372" s="402"/>
      <c r="I1372" s="402"/>
    </row>
    <row r="1373" spans="1:9" ht="12.75" customHeight="1" hidden="1">
      <c r="A1373" s="6"/>
      <c r="B1373" s="27">
        <v>2400</v>
      </c>
      <c r="C1373" s="28" t="s">
        <v>62</v>
      </c>
      <c r="D1373" s="372">
        <f>D1374+D1375</f>
        <v>0</v>
      </c>
      <c r="E1373" s="372">
        <f>E1374+E1375</f>
        <v>0</v>
      </c>
      <c r="F1373" s="34">
        <f>F1374+F1375</f>
        <v>0</v>
      </c>
      <c r="G1373" s="34">
        <f>G1374+G1375</f>
        <v>0</v>
      </c>
      <c r="H1373" s="402"/>
      <c r="I1373" s="402"/>
    </row>
    <row r="1374" spans="1:9" ht="12.75" customHeight="1" hidden="1">
      <c r="A1374" s="6"/>
      <c r="B1374" s="29">
        <v>2410</v>
      </c>
      <c r="C1374" s="30" t="s">
        <v>63</v>
      </c>
      <c r="D1374" s="372"/>
      <c r="E1374" s="372"/>
      <c r="F1374" s="34"/>
      <c r="G1374" s="34"/>
      <c r="H1374" s="402"/>
      <c r="I1374" s="402"/>
    </row>
    <row r="1375" spans="1:9" ht="12.75" customHeight="1" hidden="1">
      <c r="A1375" s="6"/>
      <c r="B1375" s="29">
        <v>2420</v>
      </c>
      <c r="C1375" s="30" t="s">
        <v>64</v>
      </c>
      <c r="D1375" s="372"/>
      <c r="E1375" s="372"/>
      <c r="F1375" s="34"/>
      <c r="G1375" s="34"/>
      <c r="H1375" s="402"/>
      <c r="I1375" s="402"/>
    </row>
    <row r="1376" spans="1:9" ht="12.75" customHeight="1" hidden="1">
      <c r="A1376" s="6"/>
      <c r="B1376" s="27">
        <v>2600</v>
      </c>
      <c r="C1376" s="28" t="s">
        <v>65</v>
      </c>
      <c r="D1376" s="370">
        <f>D1377+D1378+D1379</f>
        <v>0</v>
      </c>
      <c r="E1376" s="370">
        <f>E1377+E1378+E1379</f>
        <v>0</v>
      </c>
      <c r="F1376" s="33">
        <f>F1377+F1378+F1379</f>
        <v>0</v>
      </c>
      <c r="G1376" s="33">
        <f>G1377+G1378+G1379</f>
        <v>0</v>
      </c>
      <c r="H1376" s="402"/>
      <c r="I1376" s="402"/>
    </row>
    <row r="1377" spans="1:9" ht="12.75" customHeight="1" hidden="1">
      <c r="A1377" s="6"/>
      <c r="B1377" s="29">
        <v>2610</v>
      </c>
      <c r="C1377" s="30" t="s">
        <v>66</v>
      </c>
      <c r="D1377" s="372"/>
      <c r="E1377" s="372"/>
      <c r="F1377" s="34"/>
      <c r="G1377" s="34"/>
      <c r="H1377" s="402"/>
      <c r="I1377" s="402"/>
    </row>
    <row r="1378" spans="1:9" ht="12.75" customHeight="1" hidden="1">
      <c r="A1378" s="6"/>
      <c r="B1378" s="29">
        <v>2620</v>
      </c>
      <c r="C1378" s="30" t="s">
        <v>67</v>
      </c>
      <c r="D1378" s="372"/>
      <c r="E1378" s="372"/>
      <c r="F1378" s="34"/>
      <c r="G1378" s="34"/>
      <c r="H1378" s="402"/>
      <c r="I1378" s="402"/>
    </row>
    <row r="1379" spans="1:9" ht="12.75" customHeight="1" hidden="1">
      <c r="A1379" s="6"/>
      <c r="B1379" s="29">
        <v>2630</v>
      </c>
      <c r="C1379" s="30" t="s">
        <v>68</v>
      </c>
      <c r="D1379" s="372"/>
      <c r="E1379" s="372"/>
      <c r="F1379" s="34"/>
      <c r="G1379" s="34"/>
      <c r="H1379" s="402"/>
      <c r="I1379" s="402"/>
    </row>
    <row r="1380" spans="1:9" ht="12.75" hidden="1">
      <c r="A1380" s="6"/>
      <c r="B1380" s="27">
        <v>2700</v>
      </c>
      <c r="C1380" s="28" t="s">
        <v>69</v>
      </c>
      <c r="D1380" s="370">
        <f>D1381+D1382+D1383</f>
        <v>0</v>
      </c>
      <c r="E1380" s="370">
        <f>E1381+E1382+E1383</f>
        <v>0</v>
      </c>
      <c r="F1380" s="33">
        <f>F1381+F1382+F1383</f>
        <v>0</v>
      </c>
      <c r="G1380" s="33">
        <f>G1381+G1382+G1383</f>
        <v>0</v>
      </c>
      <c r="H1380" s="402"/>
      <c r="I1380" s="402"/>
    </row>
    <row r="1381" spans="1:9" ht="12.75" customHeight="1" hidden="1">
      <c r="A1381" s="6"/>
      <c r="B1381" s="29">
        <v>2710</v>
      </c>
      <c r="C1381" s="30" t="s">
        <v>70</v>
      </c>
      <c r="D1381" s="373"/>
      <c r="E1381" s="373"/>
      <c r="F1381" s="42"/>
      <c r="G1381" s="42"/>
      <c r="H1381" s="402"/>
      <c r="I1381" s="402"/>
    </row>
    <row r="1382" spans="1:9" ht="12.75" customHeight="1" hidden="1">
      <c r="A1382" s="6"/>
      <c r="B1382" s="29">
        <v>2720</v>
      </c>
      <c r="C1382" s="30" t="s">
        <v>71</v>
      </c>
      <c r="D1382" s="373"/>
      <c r="E1382" s="373"/>
      <c r="F1382" s="34"/>
      <c r="G1382" s="42"/>
      <c r="H1382" s="402"/>
      <c r="I1382" s="402"/>
    </row>
    <row r="1383" spans="1:9" ht="12.75" hidden="1">
      <c r="A1383" s="6"/>
      <c r="B1383" s="29">
        <v>2730</v>
      </c>
      <c r="C1383" s="30" t="s">
        <v>72</v>
      </c>
      <c r="D1383" s="372"/>
      <c r="E1383" s="372"/>
      <c r="F1383" s="34"/>
      <c r="G1383" s="42"/>
      <c r="H1383" s="402"/>
      <c r="I1383" s="402"/>
    </row>
    <row r="1384" spans="1:9" ht="12.75" customHeight="1" hidden="1">
      <c r="A1384" s="6"/>
      <c r="B1384" s="27">
        <v>2800</v>
      </c>
      <c r="C1384" s="28" t="s">
        <v>73</v>
      </c>
      <c r="D1384" s="373"/>
      <c r="E1384" s="373"/>
      <c r="F1384" s="34"/>
      <c r="G1384" s="42"/>
      <c r="H1384" s="402"/>
      <c r="I1384" s="402"/>
    </row>
    <row r="1385" spans="1:9" ht="13.5" customHeight="1">
      <c r="A1385" s="21"/>
      <c r="B1385" s="27">
        <v>3000</v>
      </c>
      <c r="C1385" s="28" t="s">
        <v>40</v>
      </c>
      <c r="D1385" s="374">
        <f>D1386+D1400</f>
        <v>0</v>
      </c>
      <c r="E1385" s="374">
        <f>E1386+E1400</f>
        <v>6972.3</v>
      </c>
      <c r="F1385" s="40">
        <f>F1386+F1400</f>
        <v>0</v>
      </c>
      <c r="G1385" s="40">
        <f>G1386+G1400</f>
        <v>2000</v>
      </c>
      <c r="H1385" s="403" t="s">
        <v>122</v>
      </c>
      <c r="I1385" s="404"/>
    </row>
    <row r="1386" spans="1:10" ht="13.5" customHeight="1">
      <c r="A1386" s="21"/>
      <c r="B1386" s="27">
        <v>3100</v>
      </c>
      <c r="C1386" s="28" t="s">
        <v>41</v>
      </c>
      <c r="D1386" s="374">
        <f>D1387+D1388+D1391+D1394+D1398+D1399+D1400</f>
        <v>0</v>
      </c>
      <c r="E1386" s="374">
        <f>E1387+E1388+E1391+E1394+E1398+E1399+E1400</f>
        <v>6972.3</v>
      </c>
      <c r="F1386" s="40">
        <f>F1387+F1388+F1391+F1394+F1398+F1399+F1400</f>
        <v>0</v>
      </c>
      <c r="G1386" s="40">
        <f>G1387+G1388+G1391+G1394+G1398+G1399+G1400</f>
        <v>2000</v>
      </c>
      <c r="H1386" s="405"/>
      <c r="I1386" s="406"/>
      <c r="J1386" s="351"/>
    </row>
    <row r="1387" spans="1:9" ht="13.5" customHeight="1" hidden="1">
      <c r="A1387" s="21"/>
      <c r="B1387" s="29">
        <v>3110</v>
      </c>
      <c r="C1387" s="30" t="s">
        <v>74</v>
      </c>
      <c r="D1387" s="373"/>
      <c r="E1387" s="373"/>
      <c r="F1387" s="41"/>
      <c r="G1387" s="41"/>
      <c r="H1387" s="405"/>
      <c r="I1387" s="406"/>
    </row>
    <row r="1388" spans="1:9" ht="12.75" customHeight="1">
      <c r="A1388" s="21"/>
      <c r="B1388" s="29">
        <v>3120</v>
      </c>
      <c r="C1388" s="30" t="s">
        <v>75</v>
      </c>
      <c r="D1388" s="374">
        <f>D1389+D1390</f>
        <v>0</v>
      </c>
      <c r="E1388" s="374">
        <f>E1389+E1390</f>
        <v>6972.3</v>
      </c>
      <c r="F1388" s="40">
        <f>F1389+F1390</f>
        <v>0</v>
      </c>
      <c r="G1388" s="40">
        <f>G1389+G1390</f>
        <v>2000</v>
      </c>
      <c r="H1388" s="405"/>
      <c r="I1388" s="406"/>
    </row>
    <row r="1389" spans="1:9" ht="12.75" customHeight="1" hidden="1">
      <c r="A1389" s="21"/>
      <c r="B1389" s="29">
        <v>3121</v>
      </c>
      <c r="C1389" s="30" t="s">
        <v>76</v>
      </c>
      <c r="D1389" s="375"/>
      <c r="E1389" s="375"/>
      <c r="F1389" s="41"/>
      <c r="G1389" s="41"/>
      <c r="H1389" s="405"/>
      <c r="I1389" s="406"/>
    </row>
    <row r="1390" spans="1:9" ht="12.75" customHeight="1">
      <c r="A1390" s="21"/>
      <c r="B1390" s="29">
        <v>3122</v>
      </c>
      <c r="C1390" s="30" t="s">
        <v>77</v>
      </c>
      <c r="D1390" s="375"/>
      <c r="E1390" s="375">
        <v>6972.3</v>
      </c>
      <c r="F1390" s="41"/>
      <c r="G1390" s="41">
        <f>'2019-2 (п.11)'!L26</f>
        <v>2000</v>
      </c>
      <c r="H1390" s="407"/>
      <c r="I1390" s="408"/>
    </row>
    <row r="1391" spans="1:9" ht="12.75" customHeight="1" hidden="1">
      <c r="A1391" s="21"/>
      <c r="B1391" s="29">
        <v>3130</v>
      </c>
      <c r="C1391" s="30" t="s">
        <v>78</v>
      </c>
      <c r="D1391" s="374">
        <f>D1392+D1393</f>
        <v>0</v>
      </c>
      <c r="E1391" s="374">
        <f>E1392+E1393</f>
        <v>0</v>
      </c>
      <c r="F1391" s="40">
        <f>F1392+F1393</f>
        <v>0</v>
      </c>
      <c r="G1391" s="40">
        <f>G1392+G1393</f>
        <v>0</v>
      </c>
      <c r="H1391" s="402"/>
      <c r="I1391" s="402"/>
    </row>
    <row r="1392" spans="1:9" ht="12.75" customHeight="1" hidden="1">
      <c r="A1392" s="21"/>
      <c r="B1392" s="29">
        <v>3131</v>
      </c>
      <c r="C1392" s="30" t="s">
        <v>79</v>
      </c>
      <c r="D1392" s="375"/>
      <c r="E1392" s="375"/>
      <c r="F1392" s="41"/>
      <c r="G1392" s="41"/>
      <c r="H1392" s="402"/>
      <c r="I1392" s="402"/>
    </row>
    <row r="1393" spans="1:9" ht="12.75" customHeight="1" hidden="1">
      <c r="A1393" s="21"/>
      <c r="B1393" s="29">
        <v>3132</v>
      </c>
      <c r="C1393" s="30" t="s">
        <v>80</v>
      </c>
      <c r="D1393" s="375"/>
      <c r="E1393" s="375"/>
      <c r="F1393" s="41"/>
      <c r="G1393" s="41"/>
      <c r="H1393" s="402"/>
      <c r="I1393" s="402"/>
    </row>
    <row r="1394" spans="1:9" ht="12.75" customHeight="1" hidden="1">
      <c r="A1394" s="21"/>
      <c r="B1394" s="29">
        <v>3140</v>
      </c>
      <c r="C1394" s="30" t="s">
        <v>81</v>
      </c>
      <c r="D1394" s="374">
        <f>D1395+D1396+D1397</f>
        <v>0</v>
      </c>
      <c r="E1394" s="374">
        <f>E1395+E1396+E1397</f>
        <v>0</v>
      </c>
      <c r="F1394" s="40">
        <f>F1395+F1396+F1397</f>
        <v>0</v>
      </c>
      <c r="G1394" s="40">
        <f>G1395+G1396+G1397</f>
        <v>0</v>
      </c>
      <c r="H1394" s="402"/>
      <c r="I1394" s="402"/>
    </row>
    <row r="1395" spans="1:9" ht="12.75" customHeight="1" hidden="1">
      <c r="A1395" s="21"/>
      <c r="B1395" s="29">
        <v>3141</v>
      </c>
      <c r="C1395" s="30" t="s">
        <v>82</v>
      </c>
      <c r="D1395" s="375"/>
      <c r="E1395" s="375"/>
      <c r="F1395" s="41"/>
      <c r="G1395" s="41"/>
      <c r="H1395" s="402"/>
      <c r="I1395" s="402"/>
    </row>
    <row r="1396" spans="1:9" ht="12.75" customHeight="1" hidden="1">
      <c r="A1396" s="21"/>
      <c r="B1396" s="29">
        <v>3142</v>
      </c>
      <c r="C1396" s="30" t="s">
        <v>83</v>
      </c>
      <c r="D1396" s="375"/>
      <c r="E1396" s="375"/>
      <c r="F1396" s="41"/>
      <c r="G1396" s="41"/>
      <c r="H1396" s="402"/>
      <c r="I1396" s="402"/>
    </row>
    <row r="1397" spans="1:9" ht="12.75" customHeight="1" hidden="1">
      <c r="A1397" s="21"/>
      <c r="B1397" s="29">
        <v>3143</v>
      </c>
      <c r="C1397" s="30" t="s">
        <v>84</v>
      </c>
      <c r="D1397" s="375"/>
      <c r="E1397" s="375"/>
      <c r="F1397" s="41"/>
      <c r="G1397" s="41"/>
      <c r="H1397" s="402"/>
      <c r="I1397" s="402"/>
    </row>
    <row r="1398" spans="1:9" ht="12.75" customHeight="1" hidden="1">
      <c r="A1398" s="21"/>
      <c r="B1398" s="29">
        <v>3150</v>
      </c>
      <c r="C1398" s="30" t="s">
        <v>85</v>
      </c>
      <c r="D1398" s="375"/>
      <c r="E1398" s="375"/>
      <c r="F1398" s="41"/>
      <c r="G1398" s="41"/>
      <c r="H1398" s="402"/>
      <c r="I1398" s="402"/>
    </row>
    <row r="1399" spans="1:9" ht="12.75" customHeight="1" hidden="1">
      <c r="A1399" s="21"/>
      <c r="B1399" s="29">
        <v>3160</v>
      </c>
      <c r="C1399" s="30" t="s">
        <v>86</v>
      </c>
      <c r="D1399" s="375"/>
      <c r="E1399" s="375"/>
      <c r="F1399" s="41"/>
      <c r="G1399" s="41"/>
      <c r="H1399" s="402"/>
      <c r="I1399" s="402"/>
    </row>
    <row r="1400" spans="1:9" ht="12.75" customHeight="1" hidden="1">
      <c r="A1400" s="21"/>
      <c r="B1400" s="27">
        <v>3200</v>
      </c>
      <c r="C1400" s="28" t="s">
        <v>87</v>
      </c>
      <c r="D1400" s="374">
        <f>D1401+D1402+D1403+D1404</f>
        <v>0</v>
      </c>
      <c r="E1400" s="374">
        <f>E1401+E1402+E1403+E1404</f>
        <v>0</v>
      </c>
      <c r="F1400" s="40">
        <f>F1401+F1402+F1403+F1404</f>
        <v>0</v>
      </c>
      <c r="G1400" s="40">
        <f>G1401+G1402+G1403+G1404</f>
        <v>0</v>
      </c>
      <c r="H1400" s="402"/>
      <c r="I1400" s="402"/>
    </row>
    <row r="1401" spans="1:9" ht="12.75" customHeight="1" hidden="1">
      <c r="A1401" s="21"/>
      <c r="B1401" s="29">
        <v>3210</v>
      </c>
      <c r="C1401" s="30" t="s">
        <v>88</v>
      </c>
      <c r="D1401" s="375"/>
      <c r="E1401" s="375"/>
      <c r="F1401" s="41"/>
      <c r="G1401" s="41"/>
      <c r="H1401" s="402"/>
      <c r="I1401" s="402"/>
    </row>
    <row r="1402" spans="1:9" ht="12.75" customHeight="1" hidden="1">
      <c r="A1402" s="21"/>
      <c r="B1402" s="29">
        <v>3220</v>
      </c>
      <c r="C1402" s="30" t="s">
        <v>89</v>
      </c>
      <c r="D1402" s="375"/>
      <c r="E1402" s="375"/>
      <c r="F1402" s="41"/>
      <c r="G1402" s="41"/>
      <c r="H1402" s="402"/>
      <c r="I1402" s="402"/>
    </row>
    <row r="1403" spans="1:9" ht="12.75" customHeight="1" hidden="1">
      <c r="A1403" s="21"/>
      <c r="B1403" s="29">
        <v>3230</v>
      </c>
      <c r="C1403" s="30" t="s">
        <v>90</v>
      </c>
      <c r="D1403" s="375"/>
      <c r="E1403" s="375"/>
      <c r="F1403" s="41"/>
      <c r="G1403" s="41"/>
      <c r="H1403" s="402"/>
      <c r="I1403" s="402"/>
    </row>
    <row r="1404" spans="1:9" ht="12.75" customHeight="1" hidden="1">
      <c r="A1404" s="21"/>
      <c r="B1404" s="29">
        <v>3240</v>
      </c>
      <c r="C1404" s="30" t="s">
        <v>91</v>
      </c>
      <c r="D1404" s="375"/>
      <c r="E1404" s="375"/>
      <c r="F1404" s="41"/>
      <c r="G1404" s="41"/>
      <c r="H1404" s="402"/>
      <c r="I1404" s="402"/>
    </row>
    <row r="1405" spans="1:10" s="19" customFormat="1" ht="13.5" customHeight="1">
      <c r="A1405" s="7"/>
      <c r="B1405" s="7"/>
      <c r="C1405" s="20" t="s">
        <v>3</v>
      </c>
      <c r="D1405" s="372">
        <f>D1350+D1385</f>
        <v>0</v>
      </c>
      <c r="E1405" s="372">
        <f>E1350+E1385</f>
        <v>6972.3</v>
      </c>
      <c r="F1405" s="34">
        <f>F1350+F1385</f>
        <v>0</v>
      </c>
      <c r="G1405" s="34">
        <f>G1350+G1385</f>
        <v>2000</v>
      </c>
      <c r="H1405" s="402"/>
      <c r="I1405" s="402"/>
      <c r="J1405" s="353"/>
    </row>
    <row r="1406" spans="2:10" s="55" customFormat="1" ht="12.75">
      <c r="B1406" s="169">
        <v>1117320</v>
      </c>
      <c r="C1406" s="169" t="s">
        <v>228</v>
      </c>
      <c r="D1406" s="385">
        <f>D1407+D1464</f>
        <v>7120.780000000001</v>
      </c>
      <c r="E1406" s="385">
        <f>E1407+E1464</f>
        <v>17564.1</v>
      </c>
      <c r="F1406" s="45">
        <f>F1407+F1464</f>
        <v>0</v>
      </c>
      <c r="G1406" s="45">
        <f>G1407+G1464</f>
        <v>74743.375</v>
      </c>
      <c r="H1406" s="428"/>
      <c r="I1406" s="428"/>
      <c r="J1406" s="360"/>
    </row>
    <row r="1407" spans="2:10" s="153" customFormat="1" ht="12.75">
      <c r="B1407" s="151">
        <v>1117323</v>
      </c>
      <c r="C1407" s="151" t="s">
        <v>229</v>
      </c>
      <c r="D1407" s="379">
        <f>D1408+D1443</f>
        <v>0</v>
      </c>
      <c r="E1407" s="379">
        <f>E1408+E1443</f>
        <v>14100</v>
      </c>
      <c r="F1407" s="152">
        <f>F1408+F1443</f>
        <v>0</v>
      </c>
      <c r="G1407" s="152">
        <f>G1408+G1443</f>
        <v>39743.375</v>
      </c>
      <c r="H1407" s="429"/>
      <c r="I1407" s="429"/>
      <c r="J1407" s="354"/>
    </row>
    <row r="1408" spans="1:9" ht="12.75" hidden="1">
      <c r="A1408" s="6"/>
      <c r="B1408" s="27">
        <v>2000</v>
      </c>
      <c r="C1408" s="28" t="s">
        <v>37</v>
      </c>
      <c r="D1408" s="370">
        <f>D1409+D1414+D1431+D1434+D1438+D1442</f>
        <v>0</v>
      </c>
      <c r="E1408" s="370">
        <f>E1409+E1414+E1431+E1434+E1438+E1442</f>
        <v>0</v>
      </c>
      <c r="F1408" s="33">
        <f>F1409+F1414+F1431+F1434+F1438+F1442</f>
        <v>0</v>
      </c>
      <c r="G1408" s="33">
        <f>G1409+G1414+G1431+G1434+G1438+G1442</f>
        <v>0</v>
      </c>
      <c r="H1408" s="402"/>
      <c r="I1408" s="402"/>
    </row>
    <row r="1409" spans="1:9" ht="12.75" customHeight="1" hidden="1">
      <c r="A1409" s="6"/>
      <c r="B1409" s="29">
        <v>2100</v>
      </c>
      <c r="C1409" s="30" t="s">
        <v>38</v>
      </c>
      <c r="D1409" s="371">
        <f>D1410+D1413</f>
        <v>0</v>
      </c>
      <c r="E1409" s="371">
        <f>E1410+E1413</f>
        <v>0</v>
      </c>
      <c r="F1409" s="35">
        <f>F1410+F1413</f>
        <v>0</v>
      </c>
      <c r="G1409" s="35">
        <f>G1410+G1413</f>
        <v>0</v>
      </c>
      <c r="H1409" s="402"/>
      <c r="I1409" s="402"/>
    </row>
    <row r="1410" spans="1:9" ht="12.75" hidden="1">
      <c r="A1410" s="6"/>
      <c r="B1410" s="29">
        <v>2110</v>
      </c>
      <c r="C1410" s="30" t="s">
        <v>39</v>
      </c>
      <c r="D1410" s="371">
        <f>D1411+D1412</f>
        <v>0</v>
      </c>
      <c r="E1410" s="371">
        <f>E1411+E1412</f>
        <v>0</v>
      </c>
      <c r="F1410" s="35">
        <f>F1411+F1412</f>
        <v>0</v>
      </c>
      <c r="G1410" s="35">
        <f>G1411+G1412</f>
        <v>0</v>
      </c>
      <c r="H1410" s="402"/>
      <c r="I1410" s="402"/>
    </row>
    <row r="1411" spans="1:9" ht="12.75" hidden="1">
      <c r="A1411" s="6"/>
      <c r="B1411" s="29">
        <v>2111</v>
      </c>
      <c r="C1411" s="30" t="s">
        <v>42</v>
      </c>
      <c r="D1411" s="372"/>
      <c r="E1411" s="372"/>
      <c r="F1411" s="34"/>
      <c r="G1411" s="34"/>
      <c r="H1411" s="402"/>
      <c r="I1411" s="402"/>
    </row>
    <row r="1412" spans="1:9" ht="12.75" customHeight="1" hidden="1">
      <c r="A1412" s="6"/>
      <c r="B1412" s="29">
        <v>2112</v>
      </c>
      <c r="C1412" s="30" t="s">
        <v>43</v>
      </c>
      <c r="D1412" s="372"/>
      <c r="E1412" s="372"/>
      <c r="F1412" s="34"/>
      <c r="G1412" s="34"/>
      <c r="H1412" s="402"/>
      <c r="I1412" s="402"/>
    </row>
    <row r="1413" spans="1:9" ht="12.75" hidden="1">
      <c r="A1413" s="6"/>
      <c r="B1413" s="29">
        <v>2120</v>
      </c>
      <c r="C1413" s="30" t="s">
        <v>44</v>
      </c>
      <c r="D1413" s="372"/>
      <c r="E1413" s="372"/>
      <c r="F1413" s="34"/>
      <c r="G1413" s="34"/>
      <c r="H1413" s="402"/>
      <c r="I1413" s="402"/>
    </row>
    <row r="1414" spans="1:9" ht="12.75" hidden="1">
      <c r="A1414" s="6"/>
      <c r="B1414" s="27">
        <v>2200</v>
      </c>
      <c r="C1414" s="28" t="s">
        <v>45</v>
      </c>
      <c r="D1414" s="370">
        <f>SUM(D1415:D1421)+D1428</f>
        <v>0</v>
      </c>
      <c r="E1414" s="370">
        <f>SUM(E1415:E1421)+E1428</f>
        <v>0</v>
      </c>
      <c r="F1414" s="33">
        <f>SUM(F1415:F1421)+F1428</f>
        <v>0</v>
      </c>
      <c r="G1414" s="33">
        <f>SUM(G1415:G1421)+G1428</f>
        <v>0</v>
      </c>
      <c r="H1414" s="402"/>
      <c r="I1414" s="402"/>
    </row>
    <row r="1415" spans="1:9" ht="12.75" customHeight="1" hidden="1">
      <c r="A1415" s="6"/>
      <c r="B1415" s="29">
        <v>2210</v>
      </c>
      <c r="C1415" s="30" t="s">
        <v>46</v>
      </c>
      <c r="D1415" s="372"/>
      <c r="E1415" s="372"/>
      <c r="F1415" s="34"/>
      <c r="G1415" s="34"/>
      <c r="H1415" s="402"/>
      <c r="I1415" s="402"/>
    </row>
    <row r="1416" spans="1:9" ht="12.75" customHeight="1" hidden="1">
      <c r="A1416" s="6"/>
      <c r="B1416" s="29">
        <v>2220</v>
      </c>
      <c r="C1416" s="30" t="s">
        <v>47</v>
      </c>
      <c r="D1416" s="372"/>
      <c r="E1416" s="372"/>
      <c r="F1416" s="34"/>
      <c r="G1416" s="34"/>
      <c r="H1416" s="402"/>
      <c r="I1416" s="402"/>
    </row>
    <row r="1417" spans="1:9" ht="12.75" customHeight="1" hidden="1">
      <c r="A1417" s="6"/>
      <c r="B1417" s="29">
        <v>2230</v>
      </c>
      <c r="C1417" s="30" t="s">
        <v>48</v>
      </c>
      <c r="D1417" s="372"/>
      <c r="E1417" s="372"/>
      <c r="F1417" s="34"/>
      <c r="G1417" s="34"/>
      <c r="H1417" s="402"/>
      <c r="I1417" s="402"/>
    </row>
    <row r="1418" spans="1:9" ht="12.75" hidden="1">
      <c r="A1418" s="6"/>
      <c r="B1418" s="29">
        <v>2240</v>
      </c>
      <c r="C1418" s="30" t="s">
        <v>49</v>
      </c>
      <c r="D1418" s="372"/>
      <c r="E1418" s="372"/>
      <c r="F1418" s="34"/>
      <c r="G1418" s="34"/>
      <c r="H1418" s="402"/>
      <c r="I1418" s="402"/>
    </row>
    <row r="1419" spans="1:9" ht="12.75" hidden="1">
      <c r="A1419" s="6"/>
      <c r="B1419" s="29">
        <v>2250</v>
      </c>
      <c r="C1419" s="30" t="s">
        <v>50</v>
      </c>
      <c r="D1419" s="372"/>
      <c r="E1419" s="372"/>
      <c r="F1419" s="34"/>
      <c r="G1419" s="34"/>
      <c r="H1419" s="402"/>
      <c r="I1419" s="402"/>
    </row>
    <row r="1420" spans="1:9" ht="12.75" customHeight="1" hidden="1">
      <c r="A1420" s="6"/>
      <c r="B1420" s="29">
        <v>2260</v>
      </c>
      <c r="C1420" s="30" t="s">
        <v>51</v>
      </c>
      <c r="D1420" s="372"/>
      <c r="E1420" s="372"/>
      <c r="F1420" s="34"/>
      <c r="G1420" s="34"/>
      <c r="H1420" s="402"/>
      <c r="I1420" s="402"/>
    </row>
    <row r="1421" spans="1:9" ht="12.75" hidden="1">
      <c r="A1421" s="6"/>
      <c r="B1421" s="27">
        <v>2270</v>
      </c>
      <c r="C1421" s="28" t="s">
        <v>52</v>
      </c>
      <c r="D1421" s="370">
        <f>D1422+D1423+D1424+D1425+D1426+D1427</f>
        <v>0</v>
      </c>
      <c r="E1421" s="370">
        <f>E1422+E1423+E1424+E1425+E1426+E1427</f>
        <v>0</v>
      </c>
      <c r="F1421" s="33">
        <f>F1422+F1423+F1424+F1425+F1426+F1427</f>
        <v>0</v>
      </c>
      <c r="G1421" s="33">
        <f>G1422+G1423+G1424+G1425+G1426+G1427</f>
        <v>0</v>
      </c>
      <c r="H1421" s="402"/>
      <c r="I1421" s="402"/>
    </row>
    <row r="1422" spans="1:9" ht="12.75" hidden="1">
      <c r="A1422" s="6"/>
      <c r="B1422" s="29">
        <v>2271</v>
      </c>
      <c r="C1422" s="30" t="s">
        <v>53</v>
      </c>
      <c r="D1422" s="372"/>
      <c r="E1422" s="372"/>
      <c r="F1422" s="34"/>
      <c r="G1422" s="34"/>
      <c r="H1422" s="402"/>
      <c r="I1422" s="402"/>
    </row>
    <row r="1423" spans="1:9" ht="12.75" hidden="1">
      <c r="A1423" s="6"/>
      <c r="B1423" s="29">
        <v>2272</v>
      </c>
      <c r="C1423" s="30" t="s">
        <v>54</v>
      </c>
      <c r="D1423" s="372"/>
      <c r="E1423" s="372"/>
      <c r="F1423" s="34"/>
      <c r="G1423" s="34"/>
      <c r="H1423" s="402"/>
      <c r="I1423" s="402"/>
    </row>
    <row r="1424" spans="1:9" ht="12.75" hidden="1">
      <c r="A1424" s="6"/>
      <c r="B1424" s="29">
        <v>2273</v>
      </c>
      <c r="C1424" s="30" t="s">
        <v>55</v>
      </c>
      <c r="D1424" s="372"/>
      <c r="E1424" s="372"/>
      <c r="F1424" s="34"/>
      <c r="G1424" s="34"/>
      <c r="H1424" s="402"/>
      <c r="I1424" s="402"/>
    </row>
    <row r="1425" spans="1:9" ht="12.75" customHeight="1" hidden="1">
      <c r="A1425" s="6"/>
      <c r="B1425" s="29">
        <v>2274</v>
      </c>
      <c r="C1425" s="30" t="s">
        <v>56</v>
      </c>
      <c r="D1425" s="372"/>
      <c r="E1425" s="372"/>
      <c r="F1425" s="34"/>
      <c r="G1425" s="34"/>
      <c r="H1425" s="402"/>
      <c r="I1425" s="402"/>
    </row>
    <row r="1426" spans="1:9" ht="12.75" customHeight="1" hidden="1">
      <c r="A1426" s="6"/>
      <c r="B1426" s="29">
        <v>2275</v>
      </c>
      <c r="C1426" s="30" t="s">
        <v>57</v>
      </c>
      <c r="D1426" s="372"/>
      <c r="E1426" s="372"/>
      <c r="F1426" s="34"/>
      <c r="G1426" s="34"/>
      <c r="H1426" s="402"/>
      <c r="I1426" s="402"/>
    </row>
    <row r="1427" spans="1:9" ht="12.75" customHeight="1" hidden="1">
      <c r="A1427" s="6"/>
      <c r="B1427" s="31">
        <v>2276</v>
      </c>
      <c r="C1427" s="32" t="s">
        <v>58</v>
      </c>
      <c r="D1427" s="372"/>
      <c r="E1427" s="372"/>
      <c r="F1427" s="34"/>
      <c r="G1427" s="34"/>
      <c r="H1427" s="402"/>
      <c r="I1427" s="402"/>
    </row>
    <row r="1428" spans="1:9" ht="12.75" customHeight="1" hidden="1">
      <c r="A1428" s="6"/>
      <c r="B1428" s="27">
        <v>2280</v>
      </c>
      <c r="C1428" s="28" t="s">
        <v>59</v>
      </c>
      <c r="D1428" s="370">
        <f>D1429+D1430</f>
        <v>0</v>
      </c>
      <c r="E1428" s="370">
        <f>E1429+E1430</f>
        <v>0</v>
      </c>
      <c r="F1428" s="33">
        <f>F1429+F1430</f>
        <v>0</v>
      </c>
      <c r="G1428" s="33">
        <f>G1429+G1430</f>
        <v>0</v>
      </c>
      <c r="H1428" s="402"/>
      <c r="I1428" s="402"/>
    </row>
    <row r="1429" spans="1:9" ht="12.75" customHeight="1" hidden="1">
      <c r="A1429" s="6"/>
      <c r="B1429" s="29">
        <v>2281</v>
      </c>
      <c r="C1429" s="30" t="s">
        <v>60</v>
      </c>
      <c r="D1429" s="372"/>
      <c r="E1429" s="372"/>
      <c r="F1429" s="34"/>
      <c r="G1429" s="34"/>
      <c r="H1429" s="402"/>
      <c r="I1429" s="402"/>
    </row>
    <row r="1430" spans="1:9" ht="12.75" customHeight="1" hidden="1">
      <c r="A1430" s="6"/>
      <c r="B1430" s="29">
        <v>2282</v>
      </c>
      <c r="C1430" s="30" t="s">
        <v>61</v>
      </c>
      <c r="D1430" s="372"/>
      <c r="E1430" s="372"/>
      <c r="F1430" s="34"/>
      <c r="G1430" s="34"/>
      <c r="H1430" s="402"/>
      <c r="I1430" s="402"/>
    </row>
    <row r="1431" spans="1:9" ht="12.75" customHeight="1" hidden="1">
      <c r="A1431" s="6"/>
      <c r="B1431" s="27">
        <v>2400</v>
      </c>
      <c r="C1431" s="28" t="s">
        <v>62</v>
      </c>
      <c r="D1431" s="372">
        <f>D1432+D1433</f>
        <v>0</v>
      </c>
      <c r="E1431" s="372">
        <f>E1432+E1433</f>
        <v>0</v>
      </c>
      <c r="F1431" s="34">
        <f>F1432+F1433</f>
        <v>0</v>
      </c>
      <c r="G1431" s="34">
        <f>G1432+G1433</f>
        <v>0</v>
      </c>
      <c r="H1431" s="402"/>
      <c r="I1431" s="402"/>
    </row>
    <row r="1432" spans="1:9" ht="12.75" customHeight="1" hidden="1">
      <c r="A1432" s="6"/>
      <c r="B1432" s="29">
        <v>2410</v>
      </c>
      <c r="C1432" s="30" t="s">
        <v>63</v>
      </c>
      <c r="D1432" s="372"/>
      <c r="E1432" s="372"/>
      <c r="F1432" s="34"/>
      <c r="G1432" s="34"/>
      <c r="H1432" s="402"/>
      <c r="I1432" s="402"/>
    </row>
    <row r="1433" spans="1:9" ht="12.75" customHeight="1" hidden="1">
      <c r="A1433" s="6"/>
      <c r="B1433" s="29">
        <v>2420</v>
      </c>
      <c r="C1433" s="30" t="s">
        <v>64</v>
      </c>
      <c r="D1433" s="372"/>
      <c r="E1433" s="372"/>
      <c r="F1433" s="34"/>
      <c r="G1433" s="34"/>
      <c r="H1433" s="402"/>
      <c r="I1433" s="402"/>
    </row>
    <row r="1434" spans="1:9" ht="12.75" customHeight="1" hidden="1">
      <c r="A1434" s="6"/>
      <c r="B1434" s="27">
        <v>2600</v>
      </c>
      <c r="C1434" s="28" t="s">
        <v>65</v>
      </c>
      <c r="D1434" s="370">
        <f>D1435+D1436+D1437</f>
        <v>0</v>
      </c>
      <c r="E1434" s="370">
        <f>E1435+E1436+E1437</f>
        <v>0</v>
      </c>
      <c r="F1434" s="33">
        <f>F1435+F1436+F1437</f>
        <v>0</v>
      </c>
      <c r="G1434" s="33">
        <f>G1435+G1436+G1437</f>
        <v>0</v>
      </c>
      <c r="H1434" s="402"/>
      <c r="I1434" s="402"/>
    </row>
    <row r="1435" spans="1:9" ht="12.75" customHeight="1" hidden="1">
      <c r="A1435" s="6"/>
      <c r="B1435" s="29">
        <v>2610</v>
      </c>
      <c r="C1435" s="30" t="s">
        <v>66</v>
      </c>
      <c r="D1435" s="372"/>
      <c r="E1435" s="372"/>
      <c r="F1435" s="34"/>
      <c r="G1435" s="34"/>
      <c r="H1435" s="402"/>
      <c r="I1435" s="402"/>
    </row>
    <row r="1436" spans="1:9" ht="12.75" customHeight="1" hidden="1">
      <c r="A1436" s="6"/>
      <c r="B1436" s="29">
        <v>2620</v>
      </c>
      <c r="C1436" s="30" t="s">
        <v>67</v>
      </c>
      <c r="D1436" s="372"/>
      <c r="E1436" s="372"/>
      <c r="F1436" s="34"/>
      <c r="G1436" s="34"/>
      <c r="H1436" s="402"/>
      <c r="I1436" s="402"/>
    </row>
    <row r="1437" spans="1:9" ht="12.75" customHeight="1" hidden="1">
      <c r="A1437" s="6"/>
      <c r="B1437" s="29">
        <v>2630</v>
      </c>
      <c r="C1437" s="30" t="s">
        <v>68</v>
      </c>
      <c r="D1437" s="372"/>
      <c r="E1437" s="372"/>
      <c r="F1437" s="34"/>
      <c r="G1437" s="34"/>
      <c r="H1437" s="402"/>
      <c r="I1437" s="402"/>
    </row>
    <row r="1438" spans="1:9" ht="12.75" hidden="1">
      <c r="A1438" s="6"/>
      <c r="B1438" s="27">
        <v>2700</v>
      </c>
      <c r="C1438" s="28" t="s">
        <v>69</v>
      </c>
      <c r="D1438" s="370">
        <f>D1439+D1440+D1441</f>
        <v>0</v>
      </c>
      <c r="E1438" s="370">
        <f>E1439+E1440+E1441</f>
        <v>0</v>
      </c>
      <c r="F1438" s="33">
        <f>F1439+F1440+F1441</f>
        <v>0</v>
      </c>
      <c r="G1438" s="33">
        <f>G1439+G1440+G1441</f>
        <v>0</v>
      </c>
      <c r="H1438" s="402"/>
      <c r="I1438" s="402"/>
    </row>
    <row r="1439" spans="1:9" ht="12.75" customHeight="1" hidden="1">
      <c r="A1439" s="6"/>
      <c r="B1439" s="29">
        <v>2710</v>
      </c>
      <c r="C1439" s="30" t="s">
        <v>70</v>
      </c>
      <c r="D1439" s="373"/>
      <c r="E1439" s="373"/>
      <c r="F1439" s="42"/>
      <c r="G1439" s="42"/>
      <c r="H1439" s="402"/>
      <c r="I1439" s="402"/>
    </row>
    <row r="1440" spans="1:9" ht="12.75" customHeight="1" hidden="1">
      <c r="A1440" s="6"/>
      <c r="B1440" s="29">
        <v>2720</v>
      </c>
      <c r="C1440" s="30" t="s">
        <v>71</v>
      </c>
      <c r="D1440" s="373"/>
      <c r="E1440" s="373"/>
      <c r="F1440" s="34"/>
      <c r="G1440" s="42"/>
      <c r="H1440" s="402"/>
      <c r="I1440" s="402"/>
    </row>
    <row r="1441" spans="1:9" ht="12.75" hidden="1">
      <c r="A1441" s="6"/>
      <c r="B1441" s="29">
        <v>2730</v>
      </c>
      <c r="C1441" s="30" t="s">
        <v>72</v>
      </c>
      <c r="D1441" s="372"/>
      <c r="E1441" s="372"/>
      <c r="F1441" s="34"/>
      <c r="G1441" s="42"/>
      <c r="H1441" s="402"/>
      <c r="I1441" s="402"/>
    </row>
    <row r="1442" spans="1:9" ht="12.75" customHeight="1" hidden="1">
      <c r="A1442" s="6"/>
      <c r="B1442" s="27">
        <v>2800</v>
      </c>
      <c r="C1442" s="28" t="s">
        <v>73</v>
      </c>
      <c r="D1442" s="373"/>
      <c r="E1442" s="373"/>
      <c r="F1442" s="34"/>
      <c r="G1442" s="42"/>
      <c r="H1442" s="402"/>
      <c r="I1442" s="402"/>
    </row>
    <row r="1443" spans="1:9" ht="13.5" customHeight="1">
      <c r="A1443" s="21"/>
      <c r="B1443" s="27">
        <v>3000</v>
      </c>
      <c r="C1443" s="28" t="s">
        <v>40</v>
      </c>
      <c r="D1443" s="374">
        <f>D1444+D1458</f>
        <v>0</v>
      </c>
      <c r="E1443" s="374">
        <f>E1444+E1458</f>
        <v>14100</v>
      </c>
      <c r="F1443" s="40">
        <f>F1444+F1458</f>
        <v>0</v>
      </c>
      <c r="G1443" s="40">
        <f>G1444+G1458</f>
        <v>39743.375</v>
      </c>
      <c r="H1443" s="403" t="s">
        <v>188</v>
      </c>
      <c r="I1443" s="404"/>
    </row>
    <row r="1444" spans="1:10" ht="13.5" customHeight="1">
      <c r="A1444" s="21"/>
      <c r="B1444" s="27">
        <v>3100</v>
      </c>
      <c r="C1444" s="28" t="s">
        <v>41</v>
      </c>
      <c r="D1444" s="374">
        <f>D1445+D1446+D1449+D1452+D1456+D1457+D1458</f>
        <v>0</v>
      </c>
      <c r="E1444" s="374">
        <f>E1445+E1446+E1449+E1452+E1456+E1457+E1458</f>
        <v>14100</v>
      </c>
      <c r="F1444" s="40">
        <f>F1445+F1446+F1449+F1452+F1456+F1457+F1458</f>
        <v>0</v>
      </c>
      <c r="G1444" s="40">
        <f>G1445+G1446+G1449+G1452+G1456+G1457+G1458</f>
        <v>39743.375</v>
      </c>
      <c r="H1444" s="405"/>
      <c r="I1444" s="406"/>
      <c r="J1444" s="351"/>
    </row>
    <row r="1445" spans="1:9" ht="13.5" customHeight="1" hidden="1">
      <c r="A1445" s="21"/>
      <c r="B1445" s="29">
        <v>3110</v>
      </c>
      <c r="C1445" s="30" t="s">
        <v>74</v>
      </c>
      <c r="D1445" s="373"/>
      <c r="E1445" s="373"/>
      <c r="F1445" s="41"/>
      <c r="G1445" s="41"/>
      <c r="H1445" s="405"/>
      <c r="I1445" s="406"/>
    </row>
    <row r="1446" spans="1:9" ht="12.75" customHeight="1" hidden="1">
      <c r="A1446" s="21"/>
      <c r="B1446" s="29">
        <v>3120</v>
      </c>
      <c r="C1446" s="30" t="s">
        <v>75</v>
      </c>
      <c r="D1446" s="374">
        <f>D1447+D1448</f>
        <v>0</v>
      </c>
      <c r="E1446" s="374">
        <f>E1447+E1448</f>
        <v>0</v>
      </c>
      <c r="F1446" s="40">
        <f>F1447+F1448</f>
        <v>0</v>
      </c>
      <c r="G1446" s="40">
        <f>G1447+G1448</f>
        <v>0</v>
      </c>
      <c r="H1446" s="405"/>
      <c r="I1446" s="406"/>
    </row>
    <row r="1447" spans="1:9" ht="12.75" customHeight="1" hidden="1">
      <c r="A1447" s="21"/>
      <c r="B1447" s="29">
        <v>3121</v>
      </c>
      <c r="C1447" s="30" t="s">
        <v>76</v>
      </c>
      <c r="D1447" s="375"/>
      <c r="E1447" s="375"/>
      <c r="F1447" s="41"/>
      <c r="G1447" s="41"/>
      <c r="H1447" s="405"/>
      <c r="I1447" s="406"/>
    </row>
    <row r="1448" spans="1:9" ht="12.75" customHeight="1" hidden="1">
      <c r="A1448" s="21"/>
      <c r="B1448" s="29">
        <v>3122</v>
      </c>
      <c r="C1448" s="30" t="s">
        <v>77</v>
      </c>
      <c r="D1448" s="375"/>
      <c r="E1448" s="375"/>
      <c r="F1448" s="41"/>
      <c r="G1448" s="41"/>
      <c r="H1448" s="405"/>
      <c r="I1448" s="406"/>
    </row>
    <row r="1449" spans="1:9" ht="12.75" customHeight="1" hidden="1">
      <c r="A1449" s="21"/>
      <c r="B1449" s="29">
        <v>3130</v>
      </c>
      <c r="C1449" s="30" t="s">
        <v>78</v>
      </c>
      <c r="D1449" s="374">
        <f>D1450+D1451</f>
        <v>0</v>
      </c>
      <c r="E1449" s="374">
        <f>E1450+E1451</f>
        <v>0</v>
      </c>
      <c r="F1449" s="40">
        <f>F1450+F1451</f>
        <v>0</v>
      </c>
      <c r="G1449" s="40">
        <f>G1450+G1451</f>
        <v>0</v>
      </c>
      <c r="H1449" s="405"/>
      <c r="I1449" s="406"/>
    </row>
    <row r="1450" spans="1:9" ht="12.75" customHeight="1" hidden="1">
      <c r="A1450" s="21"/>
      <c r="B1450" s="29">
        <v>3131</v>
      </c>
      <c r="C1450" s="30" t="s">
        <v>79</v>
      </c>
      <c r="D1450" s="375"/>
      <c r="E1450" s="375"/>
      <c r="F1450" s="41"/>
      <c r="G1450" s="41"/>
      <c r="H1450" s="405"/>
      <c r="I1450" s="406"/>
    </row>
    <row r="1451" spans="1:9" ht="12.75" customHeight="1" hidden="1">
      <c r="A1451" s="21"/>
      <c r="B1451" s="29">
        <v>3132</v>
      </c>
      <c r="C1451" s="30" t="s">
        <v>80</v>
      </c>
      <c r="D1451" s="375"/>
      <c r="E1451" s="375"/>
      <c r="F1451" s="41"/>
      <c r="G1451" s="41"/>
      <c r="H1451" s="405"/>
      <c r="I1451" s="406"/>
    </row>
    <row r="1452" spans="1:9" ht="12.75" customHeight="1">
      <c r="A1452" s="21"/>
      <c r="B1452" s="29">
        <v>3140</v>
      </c>
      <c r="C1452" s="30" t="s">
        <v>81</v>
      </c>
      <c r="D1452" s="374">
        <f>D1453+D1454+D1455</f>
        <v>0</v>
      </c>
      <c r="E1452" s="374">
        <f>E1453+E1454+E1455</f>
        <v>14100</v>
      </c>
      <c r="F1452" s="40">
        <f>F1453+F1454+F1455</f>
        <v>0</v>
      </c>
      <c r="G1452" s="40">
        <f>G1453+G1454+G1455</f>
        <v>39743.375</v>
      </c>
      <c r="H1452" s="405"/>
      <c r="I1452" s="406"/>
    </row>
    <row r="1453" spans="1:9" ht="12.75" customHeight="1" hidden="1">
      <c r="A1453" s="21"/>
      <c r="B1453" s="29">
        <v>3141</v>
      </c>
      <c r="C1453" s="30" t="s">
        <v>82</v>
      </c>
      <c r="D1453" s="375"/>
      <c r="E1453" s="375"/>
      <c r="F1453" s="41"/>
      <c r="G1453" s="41"/>
      <c r="H1453" s="405"/>
      <c r="I1453" s="406"/>
    </row>
    <row r="1454" spans="1:9" ht="12.75" customHeight="1">
      <c r="A1454" s="21"/>
      <c r="B1454" s="29">
        <v>3142</v>
      </c>
      <c r="C1454" s="30" t="s">
        <v>83</v>
      </c>
      <c r="D1454" s="375"/>
      <c r="E1454" s="375">
        <v>14100</v>
      </c>
      <c r="F1454" s="41"/>
      <c r="G1454" s="41">
        <f>'2019-2 (п.11)'!M16</f>
        <v>39743.375</v>
      </c>
      <c r="H1454" s="405"/>
      <c r="I1454" s="406"/>
    </row>
    <row r="1455" spans="1:9" ht="12.75" customHeight="1" hidden="1">
      <c r="A1455" s="21"/>
      <c r="B1455" s="29">
        <v>3143</v>
      </c>
      <c r="C1455" s="30" t="s">
        <v>84</v>
      </c>
      <c r="D1455" s="375"/>
      <c r="E1455" s="375"/>
      <c r="F1455" s="41"/>
      <c r="G1455" s="41"/>
      <c r="H1455" s="405"/>
      <c r="I1455" s="406"/>
    </row>
    <row r="1456" spans="1:9" ht="12.75" customHeight="1" hidden="1">
      <c r="A1456" s="21"/>
      <c r="B1456" s="29">
        <v>3150</v>
      </c>
      <c r="C1456" s="30" t="s">
        <v>85</v>
      </c>
      <c r="D1456" s="375"/>
      <c r="E1456" s="375"/>
      <c r="F1456" s="41"/>
      <c r="G1456" s="41"/>
      <c r="H1456" s="405"/>
      <c r="I1456" s="406"/>
    </row>
    <row r="1457" spans="1:9" ht="12.75" customHeight="1" hidden="1">
      <c r="A1457" s="21"/>
      <c r="B1457" s="29">
        <v>3160</v>
      </c>
      <c r="C1457" s="30" t="s">
        <v>86</v>
      </c>
      <c r="D1457" s="375"/>
      <c r="E1457" s="375"/>
      <c r="F1457" s="41"/>
      <c r="G1457" s="41"/>
      <c r="H1457" s="405"/>
      <c r="I1457" s="406"/>
    </row>
    <row r="1458" spans="1:9" ht="12.75" customHeight="1" hidden="1">
      <c r="A1458" s="21"/>
      <c r="B1458" s="27">
        <v>3200</v>
      </c>
      <c r="C1458" s="28" t="s">
        <v>87</v>
      </c>
      <c r="D1458" s="374">
        <f>D1459+D1460+D1461+D1462</f>
        <v>0</v>
      </c>
      <c r="E1458" s="374">
        <f>E1459+E1460+E1461+E1462</f>
        <v>0</v>
      </c>
      <c r="F1458" s="40">
        <f>F1459+F1460+F1461+F1462</f>
        <v>0</v>
      </c>
      <c r="G1458" s="40">
        <f>G1459+G1460+G1461+G1462</f>
        <v>0</v>
      </c>
      <c r="H1458" s="405"/>
      <c r="I1458" s="406"/>
    </row>
    <row r="1459" spans="1:9" ht="12.75" customHeight="1" hidden="1">
      <c r="A1459" s="21"/>
      <c r="B1459" s="29">
        <v>3210</v>
      </c>
      <c r="C1459" s="30" t="s">
        <v>88</v>
      </c>
      <c r="D1459" s="375"/>
      <c r="E1459" s="375"/>
      <c r="F1459" s="41"/>
      <c r="G1459" s="41"/>
      <c r="H1459" s="405"/>
      <c r="I1459" s="406"/>
    </row>
    <row r="1460" spans="1:9" ht="12.75" customHeight="1" hidden="1">
      <c r="A1460" s="21"/>
      <c r="B1460" s="29">
        <v>3220</v>
      </c>
      <c r="C1460" s="30" t="s">
        <v>89</v>
      </c>
      <c r="D1460" s="375"/>
      <c r="E1460" s="375"/>
      <c r="F1460" s="41"/>
      <c r="G1460" s="41"/>
      <c r="H1460" s="405"/>
      <c r="I1460" s="406"/>
    </row>
    <row r="1461" spans="1:9" ht="12.75" customHeight="1" hidden="1">
      <c r="A1461" s="21"/>
      <c r="B1461" s="29">
        <v>3230</v>
      </c>
      <c r="C1461" s="30" t="s">
        <v>90</v>
      </c>
      <c r="D1461" s="375"/>
      <c r="E1461" s="375"/>
      <c r="F1461" s="41"/>
      <c r="G1461" s="41"/>
      <c r="H1461" s="405"/>
      <c r="I1461" s="406"/>
    </row>
    <row r="1462" spans="1:9" ht="12.75" customHeight="1" hidden="1">
      <c r="A1462" s="21"/>
      <c r="B1462" s="29">
        <v>3240</v>
      </c>
      <c r="C1462" s="30" t="s">
        <v>91</v>
      </c>
      <c r="D1462" s="375"/>
      <c r="E1462" s="375"/>
      <c r="F1462" s="41"/>
      <c r="G1462" s="41"/>
      <c r="H1462" s="405"/>
      <c r="I1462" s="406"/>
    </row>
    <row r="1463" spans="1:10" s="19" customFormat="1" ht="13.5" customHeight="1">
      <c r="A1463" s="7"/>
      <c r="B1463" s="7"/>
      <c r="C1463" s="20" t="s">
        <v>3</v>
      </c>
      <c r="D1463" s="372">
        <f>D1408+D1443</f>
        <v>0</v>
      </c>
      <c r="E1463" s="372">
        <f>E1408+E1443</f>
        <v>14100</v>
      </c>
      <c r="F1463" s="34">
        <f>F1408+F1443</f>
        <v>0</v>
      </c>
      <c r="G1463" s="34">
        <f>G1408+G1443</f>
        <v>39743.375</v>
      </c>
      <c r="H1463" s="407"/>
      <c r="I1463" s="408"/>
      <c r="J1463" s="353"/>
    </row>
    <row r="1464" spans="2:10" s="153" customFormat="1" ht="12.75">
      <c r="B1464" s="151">
        <v>1117325</v>
      </c>
      <c r="C1464" s="151" t="s">
        <v>230</v>
      </c>
      <c r="D1464" s="379">
        <f>D1465+D1500</f>
        <v>7120.780000000001</v>
      </c>
      <c r="E1464" s="379">
        <f>E1465+E1500</f>
        <v>3464.1</v>
      </c>
      <c r="F1464" s="152">
        <f>F1465+F1500</f>
        <v>0</v>
      </c>
      <c r="G1464" s="152">
        <f>G1465+G1500</f>
        <v>35000</v>
      </c>
      <c r="H1464" s="429"/>
      <c r="I1464" s="429"/>
      <c r="J1464" s="354"/>
    </row>
    <row r="1465" spans="1:9" ht="12.75" hidden="1">
      <c r="A1465" s="6"/>
      <c r="B1465" s="27">
        <v>2000</v>
      </c>
      <c r="C1465" s="28" t="s">
        <v>37</v>
      </c>
      <c r="D1465" s="370">
        <f>D1466+D1471+D1488+D1491+D1495+D1499</f>
        <v>0</v>
      </c>
      <c r="E1465" s="370">
        <f>E1466+E1471+E1488+E1491+E1495+E1499</f>
        <v>0</v>
      </c>
      <c r="F1465" s="33">
        <f>F1466+F1471+F1488+F1491+F1495+F1499</f>
        <v>0</v>
      </c>
      <c r="G1465" s="33">
        <f>G1466+G1471+G1488+G1491+G1495+G1499</f>
        <v>0</v>
      </c>
      <c r="H1465" s="402"/>
      <c r="I1465" s="402"/>
    </row>
    <row r="1466" spans="1:9" ht="12.75" customHeight="1" hidden="1">
      <c r="A1466" s="6"/>
      <c r="B1466" s="29">
        <v>2100</v>
      </c>
      <c r="C1466" s="30" t="s">
        <v>38</v>
      </c>
      <c r="D1466" s="371">
        <f>D1467+D1470</f>
        <v>0</v>
      </c>
      <c r="E1466" s="371">
        <f>E1467+E1470</f>
        <v>0</v>
      </c>
      <c r="F1466" s="35">
        <f>F1467+F1470</f>
        <v>0</v>
      </c>
      <c r="G1466" s="35">
        <f>G1467+G1470</f>
        <v>0</v>
      </c>
      <c r="H1466" s="402"/>
      <c r="I1466" s="402"/>
    </row>
    <row r="1467" spans="1:9" ht="12.75" hidden="1">
      <c r="A1467" s="6"/>
      <c r="B1467" s="29">
        <v>2110</v>
      </c>
      <c r="C1467" s="30" t="s">
        <v>39</v>
      </c>
      <c r="D1467" s="371">
        <f>D1468+D1469</f>
        <v>0</v>
      </c>
      <c r="E1467" s="371">
        <f>E1468+E1469</f>
        <v>0</v>
      </c>
      <c r="F1467" s="35">
        <f>F1468+F1469</f>
        <v>0</v>
      </c>
      <c r="G1467" s="35">
        <f>G1468+G1469</f>
        <v>0</v>
      </c>
      <c r="H1467" s="402"/>
      <c r="I1467" s="402"/>
    </row>
    <row r="1468" spans="1:9" ht="12.75" hidden="1">
      <c r="A1468" s="6"/>
      <c r="B1468" s="29">
        <v>2111</v>
      </c>
      <c r="C1468" s="30" t="s">
        <v>42</v>
      </c>
      <c r="D1468" s="372"/>
      <c r="E1468" s="372"/>
      <c r="F1468" s="34"/>
      <c r="G1468" s="34"/>
      <c r="H1468" s="402"/>
      <c r="I1468" s="402"/>
    </row>
    <row r="1469" spans="1:9" ht="12.75" customHeight="1" hidden="1">
      <c r="A1469" s="6"/>
      <c r="B1469" s="29">
        <v>2112</v>
      </c>
      <c r="C1469" s="30" t="s">
        <v>43</v>
      </c>
      <c r="D1469" s="372"/>
      <c r="E1469" s="372"/>
      <c r="F1469" s="34"/>
      <c r="G1469" s="34"/>
      <c r="H1469" s="402"/>
      <c r="I1469" s="402"/>
    </row>
    <row r="1470" spans="1:9" ht="12.75" hidden="1">
      <c r="A1470" s="6"/>
      <c r="B1470" s="29">
        <v>2120</v>
      </c>
      <c r="C1470" s="30" t="s">
        <v>44</v>
      </c>
      <c r="D1470" s="372"/>
      <c r="E1470" s="372"/>
      <c r="F1470" s="34"/>
      <c r="G1470" s="34"/>
      <c r="H1470" s="402"/>
      <c r="I1470" s="402"/>
    </row>
    <row r="1471" spans="1:9" ht="12.75" hidden="1">
      <c r="A1471" s="6"/>
      <c r="B1471" s="27">
        <v>2200</v>
      </c>
      <c r="C1471" s="28" t="s">
        <v>45</v>
      </c>
      <c r="D1471" s="370">
        <f>SUM(D1472:D1478)+D1485</f>
        <v>0</v>
      </c>
      <c r="E1471" s="370">
        <f>SUM(E1472:E1478)+E1485</f>
        <v>0</v>
      </c>
      <c r="F1471" s="33">
        <f>SUM(F1472:F1478)+F1485</f>
        <v>0</v>
      </c>
      <c r="G1471" s="33">
        <f>SUM(G1472:G1478)+G1485</f>
        <v>0</v>
      </c>
      <c r="H1471" s="402"/>
      <c r="I1471" s="402"/>
    </row>
    <row r="1472" spans="1:9" ht="12.75" customHeight="1" hidden="1">
      <c r="A1472" s="6"/>
      <c r="B1472" s="29">
        <v>2210</v>
      </c>
      <c r="C1472" s="30" t="s">
        <v>46</v>
      </c>
      <c r="D1472" s="372"/>
      <c r="E1472" s="372"/>
      <c r="F1472" s="34"/>
      <c r="G1472" s="34"/>
      <c r="H1472" s="402"/>
      <c r="I1472" s="402"/>
    </row>
    <row r="1473" spans="1:9" ht="12.75" customHeight="1" hidden="1">
      <c r="A1473" s="6"/>
      <c r="B1473" s="29">
        <v>2220</v>
      </c>
      <c r="C1473" s="30" t="s">
        <v>47</v>
      </c>
      <c r="D1473" s="372"/>
      <c r="E1473" s="372"/>
      <c r="F1473" s="34"/>
      <c r="G1473" s="34"/>
      <c r="H1473" s="402"/>
      <c r="I1473" s="402"/>
    </row>
    <row r="1474" spans="1:9" ht="12.75" customHeight="1" hidden="1">
      <c r="A1474" s="6"/>
      <c r="B1474" s="29">
        <v>2230</v>
      </c>
      <c r="C1474" s="30" t="s">
        <v>48</v>
      </c>
      <c r="D1474" s="372"/>
      <c r="E1474" s="372"/>
      <c r="F1474" s="34"/>
      <c r="G1474" s="34"/>
      <c r="H1474" s="402"/>
      <c r="I1474" s="402"/>
    </row>
    <row r="1475" spans="1:9" ht="12.75" hidden="1">
      <c r="A1475" s="6"/>
      <c r="B1475" s="29">
        <v>2240</v>
      </c>
      <c r="C1475" s="30" t="s">
        <v>49</v>
      </c>
      <c r="D1475" s="372"/>
      <c r="E1475" s="372"/>
      <c r="F1475" s="34"/>
      <c r="G1475" s="34"/>
      <c r="H1475" s="402"/>
      <c r="I1475" s="402"/>
    </row>
    <row r="1476" spans="1:9" ht="12.75" hidden="1">
      <c r="A1476" s="6"/>
      <c r="B1476" s="29">
        <v>2250</v>
      </c>
      <c r="C1476" s="30" t="s">
        <v>50</v>
      </c>
      <c r="D1476" s="372"/>
      <c r="E1476" s="372"/>
      <c r="F1476" s="34"/>
      <c r="G1476" s="34"/>
      <c r="H1476" s="402"/>
      <c r="I1476" s="402"/>
    </row>
    <row r="1477" spans="1:9" ht="12.75" customHeight="1" hidden="1">
      <c r="A1477" s="6"/>
      <c r="B1477" s="29">
        <v>2260</v>
      </c>
      <c r="C1477" s="30" t="s">
        <v>51</v>
      </c>
      <c r="D1477" s="372"/>
      <c r="E1477" s="372"/>
      <c r="F1477" s="34"/>
      <c r="G1477" s="34"/>
      <c r="H1477" s="402"/>
      <c r="I1477" s="402"/>
    </row>
    <row r="1478" spans="1:9" ht="12.75" hidden="1">
      <c r="A1478" s="6"/>
      <c r="B1478" s="27">
        <v>2270</v>
      </c>
      <c r="C1478" s="28" t="s">
        <v>52</v>
      </c>
      <c r="D1478" s="370">
        <f>D1479+D1480+D1481+D1482+D1483+D1484</f>
        <v>0</v>
      </c>
      <c r="E1478" s="370">
        <f>E1479+E1480+E1481+E1482+E1483+E1484</f>
        <v>0</v>
      </c>
      <c r="F1478" s="33">
        <f>F1479+F1480+F1481+F1482+F1483+F1484</f>
        <v>0</v>
      </c>
      <c r="G1478" s="33">
        <f>G1479+G1480+G1481+G1482+G1483+G1484</f>
        <v>0</v>
      </c>
      <c r="H1478" s="402"/>
      <c r="I1478" s="402"/>
    </row>
    <row r="1479" spans="1:9" ht="12.75" hidden="1">
      <c r="A1479" s="6"/>
      <c r="B1479" s="29">
        <v>2271</v>
      </c>
      <c r="C1479" s="30" t="s">
        <v>53</v>
      </c>
      <c r="D1479" s="372"/>
      <c r="E1479" s="372"/>
      <c r="F1479" s="34"/>
      <c r="G1479" s="34"/>
      <c r="H1479" s="402"/>
      <c r="I1479" s="402"/>
    </row>
    <row r="1480" spans="1:9" ht="12.75" hidden="1">
      <c r="A1480" s="6"/>
      <c r="B1480" s="29">
        <v>2272</v>
      </c>
      <c r="C1480" s="30" t="s">
        <v>54</v>
      </c>
      <c r="D1480" s="372"/>
      <c r="E1480" s="372"/>
      <c r="F1480" s="34"/>
      <c r="G1480" s="34"/>
      <c r="H1480" s="402"/>
      <c r="I1480" s="402"/>
    </row>
    <row r="1481" spans="1:9" ht="12.75" hidden="1">
      <c r="A1481" s="6"/>
      <c r="B1481" s="29">
        <v>2273</v>
      </c>
      <c r="C1481" s="30" t="s">
        <v>55</v>
      </c>
      <c r="D1481" s="372"/>
      <c r="E1481" s="372"/>
      <c r="F1481" s="34"/>
      <c r="G1481" s="34"/>
      <c r="H1481" s="402"/>
      <c r="I1481" s="402"/>
    </row>
    <row r="1482" spans="1:9" ht="12.75" customHeight="1" hidden="1">
      <c r="A1482" s="6"/>
      <c r="B1482" s="29">
        <v>2274</v>
      </c>
      <c r="C1482" s="30" t="s">
        <v>56</v>
      </c>
      <c r="D1482" s="372"/>
      <c r="E1482" s="372"/>
      <c r="F1482" s="34"/>
      <c r="G1482" s="34"/>
      <c r="H1482" s="402"/>
      <c r="I1482" s="402"/>
    </row>
    <row r="1483" spans="1:9" ht="12.75" customHeight="1" hidden="1">
      <c r="A1483" s="6"/>
      <c r="B1483" s="29">
        <v>2275</v>
      </c>
      <c r="C1483" s="30" t="s">
        <v>57</v>
      </c>
      <c r="D1483" s="372"/>
      <c r="E1483" s="372"/>
      <c r="F1483" s="34"/>
      <c r="G1483" s="34"/>
      <c r="H1483" s="402"/>
      <c r="I1483" s="402"/>
    </row>
    <row r="1484" spans="1:9" ht="12.75" customHeight="1" hidden="1">
      <c r="A1484" s="6"/>
      <c r="B1484" s="31">
        <v>2276</v>
      </c>
      <c r="C1484" s="32" t="s">
        <v>58</v>
      </c>
      <c r="D1484" s="372"/>
      <c r="E1484" s="372"/>
      <c r="F1484" s="34"/>
      <c r="G1484" s="34"/>
      <c r="H1484" s="402"/>
      <c r="I1484" s="402"/>
    </row>
    <row r="1485" spans="1:9" ht="12.75" customHeight="1" hidden="1">
      <c r="A1485" s="6"/>
      <c r="B1485" s="27">
        <v>2280</v>
      </c>
      <c r="C1485" s="28" t="s">
        <v>59</v>
      </c>
      <c r="D1485" s="370">
        <f>D1486+D1487</f>
        <v>0</v>
      </c>
      <c r="E1485" s="370">
        <f>E1486+E1487</f>
        <v>0</v>
      </c>
      <c r="F1485" s="33">
        <f>F1486+F1487</f>
        <v>0</v>
      </c>
      <c r="G1485" s="33">
        <f>G1486+G1487</f>
        <v>0</v>
      </c>
      <c r="H1485" s="402"/>
      <c r="I1485" s="402"/>
    </row>
    <row r="1486" spans="1:9" ht="12.75" customHeight="1" hidden="1">
      <c r="A1486" s="6"/>
      <c r="B1486" s="29">
        <v>2281</v>
      </c>
      <c r="C1486" s="30" t="s">
        <v>60</v>
      </c>
      <c r="D1486" s="372"/>
      <c r="E1486" s="372"/>
      <c r="F1486" s="34"/>
      <c r="G1486" s="34"/>
      <c r="H1486" s="402"/>
      <c r="I1486" s="402"/>
    </row>
    <row r="1487" spans="1:9" ht="12.75" customHeight="1" hidden="1">
      <c r="A1487" s="6"/>
      <c r="B1487" s="29">
        <v>2282</v>
      </c>
      <c r="C1487" s="30" t="s">
        <v>61</v>
      </c>
      <c r="D1487" s="372"/>
      <c r="E1487" s="372"/>
      <c r="F1487" s="34"/>
      <c r="G1487" s="34"/>
      <c r="H1487" s="402"/>
      <c r="I1487" s="402"/>
    </row>
    <row r="1488" spans="1:9" ht="12.75" customHeight="1" hidden="1">
      <c r="A1488" s="6"/>
      <c r="B1488" s="27">
        <v>2400</v>
      </c>
      <c r="C1488" s="28" t="s">
        <v>62</v>
      </c>
      <c r="D1488" s="372">
        <f>D1489+D1490</f>
        <v>0</v>
      </c>
      <c r="E1488" s="372">
        <f>E1489+E1490</f>
        <v>0</v>
      </c>
      <c r="F1488" s="34">
        <f>F1489+F1490</f>
        <v>0</v>
      </c>
      <c r="G1488" s="34">
        <f>G1489+G1490</f>
        <v>0</v>
      </c>
      <c r="H1488" s="402"/>
      <c r="I1488" s="402"/>
    </row>
    <row r="1489" spans="1:9" ht="12.75" customHeight="1" hidden="1">
      <c r="A1489" s="6"/>
      <c r="B1489" s="29">
        <v>2410</v>
      </c>
      <c r="C1489" s="30" t="s">
        <v>63</v>
      </c>
      <c r="D1489" s="372"/>
      <c r="E1489" s="372"/>
      <c r="F1489" s="34"/>
      <c r="G1489" s="34"/>
      <c r="H1489" s="402"/>
      <c r="I1489" s="402"/>
    </row>
    <row r="1490" spans="1:9" ht="12.75" customHeight="1" hidden="1">
      <c r="A1490" s="6"/>
      <c r="B1490" s="29">
        <v>2420</v>
      </c>
      <c r="C1490" s="30" t="s">
        <v>64</v>
      </c>
      <c r="D1490" s="372"/>
      <c r="E1490" s="372"/>
      <c r="F1490" s="34"/>
      <c r="G1490" s="34"/>
      <c r="H1490" s="402"/>
      <c r="I1490" s="402"/>
    </row>
    <row r="1491" spans="1:9" ht="12.75" customHeight="1" hidden="1">
      <c r="A1491" s="6"/>
      <c r="B1491" s="27">
        <v>2600</v>
      </c>
      <c r="C1491" s="28" t="s">
        <v>65</v>
      </c>
      <c r="D1491" s="370">
        <f>D1492+D1493+D1494</f>
        <v>0</v>
      </c>
      <c r="E1491" s="370">
        <f>E1492+E1493+E1494</f>
        <v>0</v>
      </c>
      <c r="F1491" s="33">
        <f>F1492+F1493+F1494</f>
        <v>0</v>
      </c>
      <c r="G1491" s="33">
        <f>G1492+G1493+G1494</f>
        <v>0</v>
      </c>
      <c r="H1491" s="402"/>
      <c r="I1491" s="402"/>
    </row>
    <row r="1492" spans="1:9" ht="12.75" customHeight="1" hidden="1">
      <c r="A1492" s="6"/>
      <c r="B1492" s="29">
        <v>2610</v>
      </c>
      <c r="C1492" s="30" t="s">
        <v>66</v>
      </c>
      <c r="D1492" s="372"/>
      <c r="E1492" s="372"/>
      <c r="F1492" s="34"/>
      <c r="G1492" s="34"/>
      <c r="H1492" s="402"/>
      <c r="I1492" s="402"/>
    </row>
    <row r="1493" spans="1:9" ht="12.75" customHeight="1" hidden="1">
      <c r="A1493" s="6"/>
      <c r="B1493" s="29">
        <v>2620</v>
      </c>
      <c r="C1493" s="30" t="s">
        <v>67</v>
      </c>
      <c r="D1493" s="372"/>
      <c r="E1493" s="372"/>
      <c r="F1493" s="34"/>
      <c r="G1493" s="34"/>
      <c r="H1493" s="402"/>
      <c r="I1493" s="402"/>
    </row>
    <row r="1494" spans="1:9" ht="12.75" customHeight="1" hidden="1">
      <c r="A1494" s="6"/>
      <c r="B1494" s="29">
        <v>2630</v>
      </c>
      <c r="C1494" s="30" t="s">
        <v>68</v>
      </c>
      <c r="D1494" s="372"/>
      <c r="E1494" s="372"/>
      <c r="F1494" s="34"/>
      <c r="G1494" s="34"/>
      <c r="H1494" s="402"/>
      <c r="I1494" s="402"/>
    </row>
    <row r="1495" spans="1:9" ht="12.75" hidden="1">
      <c r="A1495" s="6"/>
      <c r="B1495" s="27">
        <v>2700</v>
      </c>
      <c r="C1495" s="28" t="s">
        <v>69</v>
      </c>
      <c r="D1495" s="370">
        <f>D1496+D1497+D1498</f>
        <v>0</v>
      </c>
      <c r="E1495" s="370">
        <f>E1496+E1497+E1498</f>
        <v>0</v>
      </c>
      <c r="F1495" s="33">
        <f>F1496+F1497+F1498</f>
        <v>0</v>
      </c>
      <c r="G1495" s="33">
        <f>G1496+G1497+G1498</f>
        <v>0</v>
      </c>
      <c r="H1495" s="402"/>
      <c r="I1495" s="402"/>
    </row>
    <row r="1496" spans="1:9" ht="12.75" customHeight="1" hidden="1">
      <c r="A1496" s="6"/>
      <c r="B1496" s="29">
        <v>2710</v>
      </c>
      <c r="C1496" s="30" t="s">
        <v>70</v>
      </c>
      <c r="D1496" s="373"/>
      <c r="E1496" s="373"/>
      <c r="F1496" s="42"/>
      <c r="G1496" s="42"/>
      <c r="H1496" s="402"/>
      <c r="I1496" s="402"/>
    </row>
    <row r="1497" spans="1:9" ht="12.75" customHeight="1" hidden="1">
      <c r="A1497" s="6"/>
      <c r="B1497" s="29">
        <v>2720</v>
      </c>
      <c r="C1497" s="30" t="s">
        <v>71</v>
      </c>
      <c r="D1497" s="373"/>
      <c r="E1497" s="373"/>
      <c r="F1497" s="34"/>
      <c r="G1497" s="42"/>
      <c r="H1497" s="402"/>
      <c r="I1497" s="402"/>
    </row>
    <row r="1498" spans="1:9" ht="12.75" hidden="1">
      <c r="A1498" s="6"/>
      <c r="B1498" s="29">
        <v>2730</v>
      </c>
      <c r="C1498" s="30" t="s">
        <v>72</v>
      </c>
      <c r="D1498" s="372"/>
      <c r="E1498" s="372"/>
      <c r="F1498" s="34"/>
      <c r="G1498" s="42"/>
      <c r="H1498" s="402"/>
      <c r="I1498" s="402"/>
    </row>
    <row r="1499" spans="1:9" ht="12.75" customHeight="1" hidden="1">
      <c r="A1499" s="6"/>
      <c r="B1499" s="27">
        <v>2800</v>
      </c>
      <c r="C1499" s="28" t="s">
        <v>73</v>
      </c>
      <c r="D1499" s="373"/>
      <c r="E1499" s="373"/>
      <c r="F1499" s="34"/>
      <c r="G1499" s="42"/>
      <c r="H1499" s="402"/>
      <c r="I1499" s="402"/>
    </row>
    <row r="1500" spans="1:9" ht="13.5" customHeight="1">
      <c r="A1500" s="21"/>
      <c r="B1500" s="27">
        <v>3000</v>
      </c>
      <c r="C1500" s="28" t="s">
        <v>40</v>
      </c>
      <c r="D1500" s="374">
        <f>D1501+D1515</f>
        <v>7120.780000000001</v>
      </c>
      <c r="E1500" s="374">
        <f>E1501+E1515</f>
        <v>3464.1</v>
      </c>
      <c r="F1500" s="40">
        <f>F1501+F1515</f>
        <v>0</v>
      </c>
      <c r="G1500" s="40">
        <f>G1501+G1515</f>
        <v>35000</v>
      </c>
      <c r="H1500" s="403" t="s">
        <v>478</v>
      </c>
      <c r="I1500" s="404"/>
    </row>
    <row r="1501" spans="1:10" ht="13.5" customHeight="1">
      <c r="A1501" s="21"/>
      <c r="B1501" s="27">
        <v>3100</v>
      </c>
      <c r="C1501" s="28" t="s">
        <v>41</v>
      </c>
      <c r="D1501" s="374">
        <f>D1502+D1503+D1506+D1509+D1513+D1514+D1515</f>
        <v>7120.780000000001</v>
      </c>
      <c r="E1501" s="374">
        <f>E1502+E1503+E1506+E1509+E1513+E1514+E1515</f>
        <v>3464.1</v>
      </c>
      <c r="F1501" s="40">
        <f>F1502+F1503+F1506+F1509+F1513+F1514+F1515</f>
        <v>0</v>
      </c>
      <c r="G1501" s="40">
        <f>G1502+G1503+G1506+G1509+G1513+G1514+G1515</f>
        <v>35000</v>
      </c>
      <c r="H1501" s="405"/>
      <c r="I1501" s="406"/>
      <c r="J1501" s="351"/>
    </row>
    <row r="1502" spans="1:9" ht="13.5" customHeight="1" hidden="1">
      <c r="A1502" s="21"/>
      <c r="B1502" s="29">
        <v>3110</v>
      </c>
      <c r="C1502" s="30" t="s">
        <v>74</v>
      </c>
      <c r="D1502" s="373"/>
      <c r="E1502" s="373"/>
      <c r="F1502" s="41"/>
      <c r="G1502" s="41"/>
      <c r="H1502" s="405"/>
      <c r="I1502" s="406"/>
    </row>
    <row r="1503" spans="1:9" ht="12.75" customHeight="1">
      <c r="A1503" s="21"/>
      <c r="B1503" s="29">
        <v>3120</v>
      </c>
      <c r="C1503" s="30" t="s">
        <v>75</v>
      </c>
      <c r="D1503" s="374">
        <f>D1504+D1505</f>
        <v>169.56</v>
      </c>
      <c r="E1503" s="374">
        <f>E1504+E1505</f>
        <v>3400</v>
      </c>
      <c r="F1503" s="40">
        <f>F1504+F1505</f>
        <v>0</v>
      </c>
      <c r="G1503" s="40">
        <f>G1504+G1505</f>
        <v>35000</v>
      </c>
      <c r="H1503" s="405"/>
      <c r="I1503" s="406"/>
    </row>
    <row r="1504" spans="1:9" ht="12.75" customHeight="1" hidden="1">
      <c r="A1504" s="21"/>
      <c r="B1504" s="29">
        <v>3121</v>
      </c>
      <c r="C1504" s="30" t="s">
        <v>76</v>
      </c>
      <c r="D1504" s="375"/>
      <c r="E1504" s="375"/>
      <c r="F1504" s="41"/>
      <c r="G1504" s="41"/>
      <c r="H1504" s="405"/>
      <c r="I1504" s="406"/>
    </row>
    <row r="1505" spans="1:9" ht="12.75" customHeight="1">
      <c r="A1505" s="21"/>
      <c r="B1505" s="29">
        <v>3122</v>
      </c>
      <c r="C1505" s="30" t="s">
        <v>77</v>
      </c>
      <c r="D1505" s="386">
        <v>169.56</v>
      </c>
      <c r="E1505" s="375">
        <v>3400</v>
      </c>
      <c r="F1505" s="41"/>
      <c r="G1505" s="41">
        <f>'2019-2 (п.11)'!M15+'2019-2 (п.11)'!M13</f>
        <v>35000</v>
      </c>
      <c r="H1505" s="405"/>
      <c r="I1505" s="406"/>
    </row>
    <row r="1506" spans="1:9" ht="12.75" customHeight="1" hidden="1">
      <c r="A1506" s="21"/>
      <c r="B1506" s="29">
        <v>3130</v>
      </c>
      <c r="C1506" s="30" t="s">
        <v>78</v>
      </c>
      <c r="D1506" s="370">
        <f>D1507+D1508</f>
        <v>0</v>
      </c>
      <c r="E1506" s="374">
        <f>E1507+E1508</f>
        <v>0</v>
      </c>
      <c r="F1506" s="40">
        <f>F1507+F1508</f>
        <v>0</v>
      </c>
      <c r="G1506" s="40">
        <f>G1507+G1508</f>
        <v>0</v>
      </c>
      <c r="H1506" s="405"/>
      <c r="I1506" s="406"/>
    </row>
    <row r="1507" spans="1:9" ht="12.75" customHeight="1" hidden="1">
      <c r="A1507" s="21"/>
      <c r="B1507" s="29">
        <v>3131</v>
      </c>
      <c r="C1507" s="30" t="s">
        <v>79</v>
      </c>
      <c r="D1507" s="386"/>
      <c r="E1507" s="375"/>
      <c r="F1507" s="41"/>
      <c r="G1507" s="41"/>
      <c r="H1507" s="405"/>
      <c r="I1507" s="406"/>
    </row>
    <row r="1508" spans="1:9" ht="12.75" customHeight="1" hidden="1">
      <c r="A1508" s="21"/>
      <c r="B1508" s="29">
        <v>3132</v>
      </c>
      <c r="C1508" s="30" t="s">
        <v>80</v>
      </c>
      <c r="D1508" s="386"/>
      <c r="E1508" s="375"/>
      <c r="F1508" s="41"/>
      <c r="G1508" s="41"/>
      <c r="H1508" s="405"/>
      <c r="I1508" s="406"/>
    </row>
    <row r="1509" spans="1:9" ht="12.75" customHeight="1">
      <c r="A1509" s="21"/>
      <c r="B1509" s="29">
        <v>3140</v>
      </c>
      <c r="C1509" s="30" t="s">
        <v>81</v>
      </c>
      <c r="D1509" s="370">
        <f>D1510+D1511+D1512</f>
        <v>6951.22</v>
      </c>
      <c r="E1509" s="374">
        <f>E1510+E1511+E1512</f>
        <v>64.1</v>
      </c>
      <c r="F1509" s="40">
        <f>F1510+F1511+F1512</f>
        <v>0</v>
      </c>
      <c r="G1509" s="40">
        <f>G1510+G1511+G1512</f>
        <v>0</v>
      </c>
      <c r="H1509" s="405"/>
      <c r="I1509" s="406"/>
    </row>
    <row r="1510" spans="1:9" ht="12.75" customHeight="1" hidden="1">
      <c r="A1510" s="21"/>
      <c r="B1510" s="29">
        <v>3141</v>
      </c>
      <c r="C1510" s="30" t="s">
        <v>82</v>
      </c>
      <c r="D1510" s="386"/>
      <c r="E1510" s="375"/>
      <c r="F1510" s="41"/>
      <c r="G1510" s="41"/>
      <c r="H1510" s="405"/>
      <c r="I1510" s="406"/>
    </row>
    <row r="1511" spans="1:9" ht="12.75" customHeight="1">
      <c r="A1511" s="21"/>
      <c r="B1511" s="29">
        <v>3142</v>
      </c>
      <c r="C1511" s="30" t="s">
        <v>83</v>
      </c>
      <c r="D1511" s="386">
        <f>94.12+6857.1</f>
        <v>6951.22</v>
      </c>
      <c r="E1511" s="375">
        <v>64.1</v>
      </c>
      <c r="F1511" s="41"/>
      <c r="G1511" s="41"/>
      <c r="H1511" s="407"/>
      <c r="I1511" s="408"/>
    </row>
    <row r="1512" spans="1:9" ht="12.75" customHeight="1" hidden="1">
      <c r="A1512" s="21"/>
      <c r="B1512" s="29">
        <v>3143</v>
      </c>
      <c r="C1512" s="30" t="s">
        <v>84</v>
      </c>
      <c r="D1512" s="375"/>
      <c r="E1512" s="375"/>
      <c r="F1512" s="41"/>
      <c r="G1512" s="41"/>
      <c r="H1512" s="402"/>
      <c r="I1512" s="402"/>
    </row>
    <row r="1513" spans="1:9" ht="12.75" customHeight="1" hidden="1">
      <c r="A1513" s="21"/>
      <c r="B1513" s="29">
        <v>3150</v>
      </c>
      <c r="C1513" s="30" t="s">
        <v>85</v>
      </c>
      <c r="D1513" s="375"/>
      <c r="E1513" s="375"/>
      <c r="F1513" s="41"/>
      <c r="G1513" s="41"/>
      <c r="H1513" s="402"/>
      <c r="I1513" s="402"/>
    </row>
    <row r="1514" spans="1:9" ht="12.75" customHeight="1" hidden="1">
      <c r="A1514" s="21"/>
      <c r="B1514" s="29">
        <v>3160</v>
      </c>
      <c r="C1514" s="30" t="s">
        <v>86</v>
      </c>
      <c r="D1514" s="375"/>
      <c r="E1514" s="375"/>
      <c r="F1514" s="41"/>
      <c r="G1514" s="41"/>
      <c r="H1514" s="402"/>
      <c r="I1514" s="402"/>
    </row>
    <row r="1515" spans="1:9" ht="12.75" customHeight="1" hidden="1">
      <c r="A1515" s="21"/>
      <c r="B1515" s="27">
        <v>3200</v>
      </c>
      <c r="C1515" s="28" t="s">
        <v>87</v>
      </c>
      <c r="D1515" s="374">
        <f>D1516+D1517+D1518+D1519</f>
        <v>0</v>
      </c>
      <c r="E1515" s="374">
        <f>E1516+E1517+E1518+E1519</f>
        <v>0</v>
      </c>
      <c r="F1515" s="40">
        <f>F1516+F1517+F1518+F1519</f>
        <v>0</v>
      </c>
      <c r="G1515" s="40">
        <f>G1516+G1517+G1518+G1519</f>
        <v>0</v>
      </c>
      <c r="H1515" s="402"/>
      <c r="I1515" s="402"/>
    </row>
    <row r="1516" spans="1:9" ht="12.75" customHeight="1" hidden="1">
      <c r="A1516" s="21"/>
      <c r="B1516" s="29">
        <v>3210</v>
      </c>
      <c r="C1516" s="30" t="s">
        <v>88</v>
      </c>
      <c r="D1516" s="375"/>
      <c r="E1516" s="375"/>
      <c r="F1516" s="41"/>
      <c r="G1516" s="41"/>
      <c r="H1516" s="402"/>
      <c r="I1516" s="402"/>
    </row>
    <row r="1517" spans="1:9" ht="12.75" customHeight="1" hidden="1">
      <c r="A1517" s="21"/>
      <c r="B1517" s="29">
        <v>3220</v>
      </c>
      <c r="C1517" s="30" t="s">
        <v>89</v>
      </c>
      <c r="D1517" s="375"/>
      <c r="E1517" s="375"/>
      <c r="F1517" s="41"/>
      <c r="G1517" s="41"/>
      <c r="H1517" s="402"/>
      <c r="I1517" s="402"/>
    </row>
    <row r="1518" spans="1:9" ht="12.75" customHeight="1" hidden="1">
      <c r="A1518" s="21"/>
      <c r="B1518" s="29">
        <v>3230</v>
      </c>
      <c r="C1518" s="30" t="s">
        <v>90</v>
      </c>
      <c r="D1518" s="375"/>
      <c r="E1518" s="375"/>
      <c r="F1518" s="41"/>
      <c r="G1518" s="41"/>
      <c r="H1518" s="402"/>
      <c r="I1518" s="402"/>
    </row>
    <row r="1519" spans="1:9" ht="12.75" customHeight="1" hidden="1">
      <c r="A1519" s="21"/>
      <c r="B1519" s="29">
        <v>3240</v>
      </c>
      <c r="C1519" s="30" t="s">
        <v>91</v>
      </c>
      <c r="D1519" s="375"/>
      <c r="E1519" s="375"/>
      <c r="F1519" s="41"/>
      <c r="G1519" s="41"/>
      <c r="H1519" s="402"/>
      <c r="I1519" s="402"/>
    </row>
    <row r="1520" spans="1:10" s="19" customFormat="1" ht="13.5" customHeight="1">
      <c r="A1520" s="7"/>
      <c r="B1520" s="7"/>
      <c r="C1520" s="20" t="s">
        <v>3</v>
      </c>
      <c r="D1520" s="372">
        <f>D1465+D1500</f>
        <v>7120.780000000001</v>
      </c>
      <c r="E1520" s="372">
        <f>E1465+E1500</f>
        <v>3464.1</v>
      </c>
      <c r="F1520" s="34">
        <f>F1465+F1500</f>
        <v>0</v>
      </c>
      <c r="G1520" s="34">
        <f>G1465+G1500</f>
        <v>35000</v>
      </c>
      <c r="H1520" s="402"/>
      <c r="I1520" s="402"/>
      <c r="J1520" s="353"/>
    </row>
    <row r="1521" spans="2:10" s="55" customFormat="1" ht="12.75">
      <c r="B1521" s="169">
        <v>1117360</v>
      </c>
      <c r="C1521" s="169" t="s">
        <v>231</v>
      </c>
      <c r="D1521" s="385">
        <f>D1522+D1579</f>
        <v>221.34</v>
      </c>
      <c r="E1521" s="385">
        <f>E1522+E1579</f>
        <v>14605.779999999999</v>
      </c>
      <c r="F1521" s="45">
        <f>F1522+F1579</f>
        <v>0</v>
      </c>
      <c r="G1521" s="45">
        <f>G1522+G1579</f>
        <v>41168.058000000005</v>
      </c>
      <c r="H1521" s="428"/>
      <c r="I1521" s="428"/>
      <c r="J1521" s="360"/>
    </row>
    <row r="1522" spans="2:10" s="153" customFormat="1" ht="26.25">
      <c r="B1522" s="151">
        <v>1117361</v>
      </c>
      <c r="C1522" s="151" t="s">
        <v>232</v>
      </c>
      <c r="D1522" s="379">
        <f>D1523+D1558</f>
        <v>221.34</v>
      </c>
      <c r="E1522" s="379">
        <f>E1523+E1558</f>
        <v>5821.614</v>
      </c>
      <c r="F1522" s="152">
        <f>F1523+F1558</f>
        <v>0</v>
      </c>
      <c r="G1522" s="152">
        <f>G1523+G1558</f>
        <v>16767.598</v>
      </c>
      <c r="H1522" s="429"/>
      <c r="I1522" s="429"/>
      <c r="J1522" s="354"/>
    </row>
    <row r="1523" spans="1:9" ht="12.75" hidden="1">
      <c r="A1523" s="6"/>
      <c r="B1523" s="27">
        <v>2000</v>
      </c>
      <c r="C1523" s="28" t="s">
        <v>37</v>
      </c>
      <c r="D1523" s="370">
        <f>D1524+D1529+D1546+D1549+D1553+D1557</f>
        <v>0</v>
      </c>
      <c r="E1523" s="370">
        <f>E1524+E1529+E1546+E1549+E1553+E1557</f>
        <v>0</v>
      </c>
      <c r="F1523" s="33">
        <f>F1524+F1529+F1546+F1549+F1553+F1557</f>
        <v>0</v>
      </c>
      <c r="G1523" s="33">
        <f>G1524+G1529+G1546+G1549+G1553+G1557</f>
        <v>0</v>
      </c>
      <c r="H1523" s="402"/>
      <c r="I1523" s="402"/>
    </row>
    <row r="1524" spans="1:9" ht="12.75" customHeight="1" hidden="1">
      <c r="A1524" s="6"/>
      <c r="B1524" s="29">
        <v>2100</v>
      </c>
      <c r="C1524" s="30" t="s">
        <v>38</v>
      </c>
      <c r="D1524" s="371">
        <f>D1525+D1528</f>
        <v>0</v>
      </c>
      <c r="E1524" s="371">
        <f>E1525+E1528</f>
        <v>0</v>
      </c>
      <c r="F1524" s="35">
        <f>F1525+F1528</f>
        <v>0</v>
      </c>
      <c r="G1524" s="35">
        <f>G1525+G1528</f>
        <v>0</v>
      </c>
      <c r="H1524" s="402"/>
      <c r="I1524" s="402"/>
    </row>
    <row r="1525" spans="1:9" ht="12.75" hidden="1">
      <c r="A1525" s="6"/>
      <c r="B1525" s="29">
        <v>2110</v>
      </c>
      <c r="C1525" s="30" t="s">
        <v>39</v>
      </c>
      <c r="D1525" s="371">
        <f>D1526+D1527</f>
        <v>0</v>
      </c>
      <c r="E1525" s="371">
        <f>E1526+E1527</f>
        <v>0</v>
      </c>
      <c r="F1525" s="35">
        <f>F1526+F1527</f>
        <v>0</v>
      </c>
      <c r="G1525" s="35">
        <f>G1526+G1527</f>
        <v>0</v>
      </c>
      <c r="H1525" s="402"/>
      <c r="I1525" s="402"/>
    </row>
    <row r="1526" spans="1:9" ht="12.75" hidden="1">
      <c r="A1526" s="6"/>
      <c r="B1526" s="29">
        <v>2111</v>
      </c>
      <c r="C1526" s="30" t="s">
        <v>42</v>
      </c>
      <c r="D1526" s="372"/>
      <c r="E1526" s="372"/>
      <c r="F1526" s="34"/>
      <c r="G1526" s="34"/>
      <c r="H1526" s="402"/>
      <c r="I1526" s="402"/>
    </row>
    <row r="1527" spans="1:9" ht="12.75" customHeight="1" hidden="1">
      <c r="A1527" s="6"/>
      <c r="B1527" s="29">
        <v>2112</v>
      </c>
      <c r="C1527" s="30" t="s">
        <v>43</v>
      </c>
      <c r="D1527" s="372"/>
      <c r="E1527" s="372"/>
      <c r="F1527" s="34"/>
      <c r="G1527" s="34"/>
      <c r="H1527" s="402"/>
      <c r="I1527" s="402"/>
    </row>
    <row r="1528" spans="1:9" ht="12.75" hidden="1">
      <c r="A1528" s="6"/>
      <c r="B1528" s="29">
        <v>2120</v>
      </c>
      <c r="C1528" s="30" t="s">
        <v>44</v>
      </c>
      <c r="D1528" s="372"/>
      <c r="E1528" s="372"/>
      <c r="F1528" s="34"/>
      <c r="G1528" s="34"/>
      <c r="H1528" s="402"/>
      <c r="I1528" s="402"/>
    </row>
    <row r="1529" spans="1:9" ht="12.75" hidden="1">
      <c r="A1529" s="6"/>
      <c r="B1529" s="27">
        <v>2200</v>
      </c>
      <c r="C1529" s="28" t="s">
        <v>45</v>
      </c>
      <c r="D1529" s="370">
        <f>SUM(D1530:D1536)+D1543</f>
        <v>0</v>
      </c>
      <c r="E1529" s="370">
        <f>SUM(E1530:E1536)+E1543</f>
        <v>0</v>
      </c>
      <c r="F1529" s="33">
        <f>SUM(F1530:F1536)+F1543</f>
        <v>0</v>
      </c>
      <c r="G1529" s="33">
        <f>SUM(G1530:G1536)+G1543</f>
        <v>0</v>
      </c>
      <c r="H1529" s="402"/>
      <c r="I1529" s="402"/>
    </row>
    <row r="1530" spans="1:9" ht="12.75" customHeight="1" hidden="1">
      <c r="A1530" s="6"/>
      <c r="B1530" s="29">
        <v>2210</v>
      </c>
      <c r="C1530" s="30" t="s">
        <v>46</v>
      </c>
      <c r="D1530" s="372"/>
      <c r="E1530" s="372"/>
      <c r="F1530" s="34"/>
      <c r="G1530" s="34"/>
      <c r="H1530" s="402"/>
      <c r="I1530" s="402"/>
    </row>
    <row r="1531" spans="1:9" ht="12.75" customHeight="1" hidden="1">
      <c r="A1531" s="6"/>
      <c r="B1531" s="29">
        <v>2220</v>
      </c>
      <c r="C1531" s="30" t="s">
        <v>47</v>
      </c>
      <c r="D1531" s="372"/>
      <c r="E1531" s="372"/>
      <c r="F1531" s="34"/>
      <c r="G1531" s="34"/>
      <c r="H1531" s="402"/>
      <c r="I1531" s="402"/>
    </row>
    <row r="1532" spans="1:9" ht="12.75" customHeight="1" hidden="1">
      <c r="A1532" s="6"/>
      <c r="B1532" s="29">
        <v>2230</v>
      </c>
      <c r="C1532" s="30" t="s">
        <v>48</v>
      </c>
      <c r="D1532" s="372"/>
      <c r="E1532" s="372"/>
      <c r="F1532" s="34"/>
      <c r="G1532" s="34"/>
      <c r="H1532" s="402"/>
      <c r="I1532" s="402"/>
    </row>
    <row r="1533" spans="1:9" ht="12.75" hidden="1">
      <c r="A1533" s="6"/>
      <c r="B1533" s="29">
        <v>2240</v>
      </c>
      <c r="C1533" s="30" t="s">
        <v>49</v>
      </c>
      <c r="D1533" s="372"/>
      <c r="E1533" s="372"/>
      <c r="F1533" s="34"/>
      <c r="G1533" s="34"/>
      <c r="H1533" s="402"/>
      <c r="I1533" s="402"/>
    </row>
    <row r="1534" spans="1:9" ht="12.75" hidden="1">
      <c r="A1534" s="6"/>
      <c r="B1534" s="29">
        <v>2250</v>
      </c>
      <c r="C1534" s="30" t="s">
        <v>50</v>
      </c>
      <c r="D1534" s="372"/>
      <c r="E1534" s="372"/>
      <c r="F1534" s="34"/>
      <c r="G1534" s="34"/>
      <c r="H1534" s="402"/>
      <c r="I1534" s="402"/>
    </row>
    <row r="1535" spans="1:9" ht="12.75" customHeight="1" hidden="1">
      <c r="A1535" s="6"/>
      <c r="B1535" s="29">
        <v>2260</v>
      </c>
      <c r="C1535" s="30" t="s">
        <v>51</v>
      </c>
      <c r="D1535" s="372"/>
      <c r="E1535" s="372"/>
      <c r="F1535" s="34"/>
      <c r="G1535" s="34"/>
      <c r="H1535" s="402"/>
      <c r="I1535" s="402"/>
    </row>
    <row r="1536" spans="1:9" ht="12.75" hidden="1">
      <c r="A1536" s="6"/>
      <c r="B1536" s="27">
        <v>2270</v>
      </c>
      <c r="C1536" s="28" t="s">
        <v>52</v>
      </c>
      <c r="D1536" s="370">
        <f>D1537+D1538+D1539+D1540+D1541+D1542</f>
        <v>0</v>
      </c>
      <c r="E1536" s="370">
        <f>E1537+E1538+E1539+E1540+E1541+E1542</f>
        <v>0</v>
      </c>
      <c r="F1536" s="33">
        <f>F1537+F1538+F1539+F1540+F1541+F1542</f>
        <v>0</v>
      </c>
      <c r="G1536" s="33">
        <f>G1537+G1538+G1539+G1540+G1541+G1542</f>
        <v>0</v>
      </c>
      <c r="H1536" s="402"/>
      <c r="I1536" s="402"/>
    </row>
    <row r="1537" spans="1:9" ht="12.75" hidden="1">
      <c r="A1537" s="6"/>
      <c r="B1537" s="29">
        <v>2271</v>
      </c>
      <c r="C1537" s="30" t="s">
        <v>53</v>
      </c>
      <c r="D1537" s="372"/>
      <c r="E1537" s="372"/>
      <c r="F1537" s="34"/>
      <c r="G1537" s="34"/>
      <c r="H1537" s="402"/>
      <c r="I1537" s="402"/>
    </row>
    <row r="1538" spans="1:9" ht="12.75" hidden="1">
      <c r="A1538" s="6"/>
      <c r="B1538" s="29">
        <v>2272</v>
      </c>
      <c r="C1538" s="30" t="s">
        <v>54</v>
      </c>
      <c r="D1538" s="372"/>
      <c r="E1538" s="372"/>
      <c r="F1538" s="34"/>
      <c r="G1538" s="34"/>
      <c r="H1538" s="402"/>
      <c r="I1538" s="402"/>
    </row>
    <row r="1539" spans="1:9" ht="12.75" hidden="1">
      <c r="A1539" s="6"/>
      <c r="B1539" s="29">
        <v>2273</v>
      </c>
      <c r="C1539" s="30" t="s">
        <v>55</v>
      </c>
      <c r="D1539" s="372"/>
      <c r="E1539" s="372"/>
      <c r="F1539" s="34"/>
      <c r="G1539" s="34"/>
      <c r="H1539" s="402"/>
      <c r="I1539" s="402"/>
    </row>
    <row r="1540" spans="1:9" ht="12.75" customHeight="1" hidden="1">
      <c r="A1540" s="6"/>
      <c r="B1540" s="29">
        <v>2274</v>
      </c>
      <c r="C1540" s="30" t="s">
        <v>56</v>
      </c>
      <c r="D1540" s="372"/>
      <c r="E1540" s="372"/>
      <c r="F1540" s="34"/>
      <c r="G1540" s="34"/>
      <c r="H1540" s="402"/>
      <c r="I1540" s="402"/>
    </row>
    <row r="1541" spans="1:9" ht="12.75" customHeight="1" hidden="1">
      <c r="A1541" s="6"/>
      <c r="B1541" s="29">
        <v>2275</v>
      </c>
      <c r="C1541" s="30" t="s">
        <v>57</v>
      </c>
      <c r="D1541" s="372"/>
      <c r="E1541" s="372"/>
      <c r="F1541" s="34"/>
      <c r="G1541" s="34"/>
      <c r="H1541" s="402"/>
      <c r="I1541" s="402"/>
    </row>
    <row r="1542" spans="1:9" ht="12.75" customHeight="1" hidden="1">
      <c r="A1542" s="6"/>
      <c r="B1542" s="31">
        <v>2276</v>
      </c>
      <c r="C1542" s="32" t="s">
        <v>58</v>
      </c>
      <c r="D1542" s="372"/>
      <c r="E1542" s="372"/>
      <c r="F1542" s="34"/>
      <c r="G1542" s="34"/>
      <c r="H1542" s="402"/>
      <c r="I1542" s="402"/>
    </row>
    <row r="1543" spans="1:9" ht="12.75" customHeight="1" hidden="1">
      <c r="A1543" s="6"/>
      <c r="B1543" s="27">
        <v>2280</v>
      </c>
      <c r="C1543" s="28" t="s">
        <v>59</v>
      </c>
      <c r="D1543" s="370">
        <f>D1544+D1545</f>
        <v>0</v>
      </c>
      <c r="E1543" s="370">
        <f>E1544+E1545</f>
        <v>0</v>
      </c>
      <c r="F1543" s="33">
        <f>F1544+F1545</f>
        <v>0</v>
      </c>
      <c r="G1543" s="33">
        <f>G1544+G1545</f>
        <v>0</v>
      </c>
      <c r="H1543" s="402"/>
      <c r="I1543" s="402"/>
    </row>
    <row r="1544" spans="1:9" ht="12.75" customHeight="1" hidden="1">
      <c r="A1544" s="6"/>
      <c r="B1544" s="29">
        <v>2281</v>
      </c>
      <c r="C1544" s="30" t="s">
        <v>60</v>
      </c>
      <c r="D1544" s="372"/>
      <c r="E1544" s="372"/>
      <c r="F1544" s="34"/>
      <c r="G1544" s="34"/>
      <c r="H1544" s="402"/>
      <c r="I1544" s="402"/>
    </row>
    <row r="1545" spans="1:9" ht="12.75" customHeight="1" hidden="1">
      <c r="A1545" s="6"/>
      <c r="B1545" s="29">
        <v>2282</v>
      </c>
      <c r="C1545" s="30" t="s">
        <v>61</v>
      </c>
      <c r="D1545" s="372"/>
      <c r="E1545" s="372"/>
      <c r="F1545" s="34"/>
      <c r="G1545" s="34"/>
      <c r="H1545" s="402"/>
      <c r="I1545" s="402"/>
    </row>
    <row r="1546" spans="1:9" ht="12.75" customHeight="1" hidden="1">
      <c r="A1546" s="6"/>
      <c r="B1546" s="27">
        <v>2400</v>
      </c>
      <c r="C1546" s="28" t="s">
        <v>62</v>
      </c>
      <c r="D1546" s="372">
        <f>D1547+D1548</f>
        <v>0</v>
      </c>
      <c r="E1546" s="372">
        <f>E1547+E1548</f>
        <v>0</v>
      </c>
      <c r="F1546" s="34">
        <f>F1547+F1548</f>
        <v>0</v>
      </c>
      <c r="G1546" s="34">
        <f>G1547+G1548</f>
        <v>0</v>
      </c>
      <c r="H1546" s="402"/>
      <c r="I1546" s="402"/>
    </row>
    <row r="1547" spans="1:9" ht="12.75" customHeight="1" hidden="1">
      <c r="A1547" s="6"/>
      <c r="B1547" s="29">
        <v>2410</v>
      </c>
      <c r="C1547" s="30" t="s">
        <v>63</v>
      </c>
      <c r="D1547" s="372"/>
      <c r="E1547" s="372"/>
      <c r="F1547" s="34"/>
      <c r="G1547" s="34"/>
      <c r="H1547" s="402"/>
      <c r="I1547" s="402"/>
    </row>
    <row r="1548" spans="1:9" ht="12.75" customHeight="1" hidden="1">
      <c r="A1548" s="6"/>
      <c r="B1548" s="29">
        <v>2420</v>
      </c>
      <c r="C1548" s="30" t="s">
        <v>64</v>
      </c>
      <c r="D1548" s="372"/>
      <c r="E1548" s="372"/>
      <c r="F1548" s="34"/>
      <c r="G1548" s="34"/>
      <c r="H1548" s="402"/>
      <c r="I1548" s="402"/>
    </row>
    <row r="1549" spans="1:9" ht="12.75" customHeight="1" hidden="1">
      <c r="A1549" s="6"/>
      <c r="B1549" s="27">
        <v>2600</v>
      </c>
      <c r="C1549" s="28" t="s">
        <v>65</v>
      </c>
      <c r="D1549" s="370">
        <f>D1550+D1551+D1552</f>
        <v>0</v>
      </c>
      <c r="E1549" s="370">
        <f>E1550+E1551+E1552</f>
        <v>0</v>
      </c>
      <c r="F1549" s="33">
        <f>F1550+F1551+F1552</f>
        <v>0</v>
      </c>
      <c r="G1549" s="33">
        <f>G1550+G1551+G1552</f>
        <v>0</v>
      </c>
      <c r="H1549" s="402"/>
      <c r="I1549" s="402"/>
    </row>
    <row r="1550" spans="1:9" ht="12.75" customHeight="1" hidden="1">
      <c r="A1550" s="6"/>
      <c r="B1550" s="29">
        <v>2610</v>
      </c>
      <c r="C1550" s="30" t="s">
        <v>66</v>
      </c>
      <c r="D1550" s="372"/>
      <c r="E1550" s="372"/>
      <c r="F1550" s="34"/>
      <c r="G1550" s="34"/>
      <c r="H1550" s="402"/>
      <c r="I1550" s="402"/>
    </row>
    <row r="1551" spans="1:9" ht="12.75" customHeight="1" hidden="1">
      <c r="A1551" s="6"/>
      <c r="B1551" s="29">
        <v>2620</v>
      </c>
      <c r="C1551" s="30" t="s">
        <v>67</v>
      </c>
      <c r="D1551" s="372"/>
      <c r="E1551" s="372"/>
      <c r="F1551" s="34"/>
      <c r="G1551" s="34"/>
      <c r="H1551" s="402"/>
      <c r="I1551" s="402"/>
    </row>
    <row r="1552" spans="1:9" ht="12.75" customHeight="1" hidden="1">
      <c r="A1552" s="6"/>
      <c r="B1552" s="29">
        <v>2630</v>
      </c>
      <c r="C1552" s="30" t="s">
        <v>68</v>
      </c>
      <c r="D1552" s="372"/>
      <c r="E1552" s="372"/>
      <c r="F1552" s="34"/>
      <c r="G1552" s="34"/>
      <c r="H1552" s="402"/>
      <c r="I1552" s="402"/>
    </row>
    <row r="1553" spans="1:9" ht="12.75" hidden="1">
      <c r="A1553" s="6"/>
      <c r="B1553" s="27">
        <v>2700</v>
      </c>
      <c r="C1553" s="28" t="s">
        <v>69</v>
      </c>
      <c r="D1553" s="370">
        <f>D1554+D1555+D1556</f>
        <v>0</v>
      </c>
      <c r="E1553" s="370">
        <f>E1554+E1555+E1556</f>
        <v>0</v>
      </c>
      <c r="F1553" s="33">
        <f>F1554+F1555+F1556</f>
        <v>0</v>
      </c>
      <c r="G1553" s="33">
        <f>G1554+G1555+G1556</f>
        <v>0</v>
      </c>
      <c r="H1553" s="402"/>
      <c r="I1553" s="402"/>
    </row>
    <row r="1554" spans="1:9" ht="12.75" customHeight="1" hidden="1">
      <c r="A1554" s="6"/>
      <c r="B1554" s="29">
        <v>2710</v>
      </c>
      <c r="C1554" s="30" t="s">
        <v>70</v>
      </c>
      <c r="D1554" s="373"/>
      <c r="E1554" s="373"/>
      <c r="F1554" s="42"/>
      <c r="G1554" s="42"/>
      <c r="H1554" s="402"/>
      <c r="I1554" s="402"/>
    </row>
    <row r="1555" spans="1:9" ht="12.75" customHeight="1" hidden="1">
      <c r="A1555" s="6"/>
      <c r="B1555" s="29">
        <v>2720</v>
      </c>
      <c r="C1555" s="30" t="s">
        <v>71</v>
      </c>
      <c r="D1555" s="373"/>
      <c r="E1555" s="373"/>
      <c r="F1555" s="34"/>
      <c r="G1555" s="42"/>
      <c r="H1555" s="402"/>
      <c r="I1555" s="402"/>
    </row>
    <row r="1556" spans="1:9" ht="12.75" hidden="1">
      <c r="A1556" s="6"/>
      <c r="B1556" s="29">
        <v>2730</v>
      </c>
      <c r="C1556" s="30" t="s">
        <v>72</v>
      </c>
      <c r="D1556" s="372"/>
      <c r="E1556" s="372"/>
      <c r="F1556" s="34"/>
      <c r="G1556" s="42"/>
      <c r="H1556" s="402"/>
      <c r="I1556" s="402"/>
    </row>
    <row r="1557" spans="1:9" ht="12.75" customHeight="1" hidden="1">
      <c r="A1557" s="6"/>
      <c r="B1557" s="27">
        <v>2800</v>
      </c>
      <c r="C1557" s="28" t="s">
        <v>73</v>
      </c>
      <c r="D1557" s="373"/>
      <c r="E1557" s="373"/>
      <c r="F1557" s="34"/>
      <c r="G1557" s="42"/>
      <c r="H1557" s="402"/>
      <c r="I1557" s="402"/>
    </row>
    <row r="1558" spans="1:9" ht="13.5" customHeight="1">
      <c r="A1558" s="21"/>
      <c r="B1558" s="27">
        <v>3000</v>
      </c>
      <c r="C1558" s="28" t="s">
        <v>40</v>
      </c>
      <c r="D1558" s="374">
        <f>D1559+D1573</f>
        <v>221.34</v>
      </c>
      <c r="E1558" s="374">
        <f>E1559+E1573</f>
        <v>5821.614</v>
      </c>
      <c r="F1558" s="40">
        <f>F1559+F1573</f>
        <v>0</v>
      </c>
      <c r="G1558" s="40">
        <f>G1559+G1573</f>
        <v>16767.598</v>
      </c>
      <c r="H1558" s="402"/>
      <c r="I1558" s="402"/>
    </row>
    <row r="1559" spans="1:10" ht="13.5" customHeight="1">
      <c r="A1559" s="21"/>
      <c r="B1559" s="27">
        <v>3100</v>
      </c>
      <c r="C1559" s="28" t="s">
        <v>41</v>
      </c>
      <c r="D1559" s="374">
        <f>D1560+D1561+D1564+D1567+D1571+D1572+D1573</f>
        <v>221.34</v>
      </c>
      <c r="E1559" s="374">
        <f>E1560+E1561+E1564+E1567+E1571+E1572+E1573</f>
        <v>5821.614</v>
      </c>
      <c r="F1559" s="40">
        <f>F1560+F1561+F1564+F1567+F1571+F1572+F1573</f>
        <v>0</v>
      </c>
      <c r="G1559" s="40">
        <f>G1560+G1561+G1564+G1567+G1571+G1572+G1573</f>
        <v>16767.598</v>
      </c>
      <c r="H1559" s="403" t="s">
        <v>119</v>
      </c>
      <c r="I1559" s="404"/>
      <c r="J1559" s="351"/>
    </row>
    <row r="1560" spans="1:9" ht="13.5" customHeight="1" hidden="1">
      <c r="A1560" s="21"/>
      <c r="B1560" s="29">
        <v>3110</v>
      </c>
      <c r="C1560" s="30" t="s">
        <v>74</v>
      </c>
      <c r="D1560" s="373"/>
      <c r="E1560" s="373"/>
      <c r="F1560" s="41"/>
      <c r="G1560" s="41"/>
      <c r="H1560" s="405"/>
      <c r="I1560" s="406"/>
    </row>
    <row r="1561" spans="1:9" ht="12.75" customHeight="1">
      <c r="A1561" s="21"/>
      <c r="B1561" s="29">
        <v>3120</v>
      </c>
      <c r="C1561" s="30" t="s">
        <v>75</v>
      </c>
      <c r="D1561" s="374">
        <f>D1562+D1563</f>
        <v>0</v>
      </c>
      <c r="E1561" s="374">
        <f>E1562+E1563</f>
        <v>0</v>
      </c>
      <c r="F1561" s="40">
        <f>F1562+F1563</f>
        <v>0</v>
      </c>
      <c r="G1561" s="40">
        <f>G1562+G1563</f>
        <v>9220.386</v>
      </c>
      <c r="H1561" s="405"/>
      <c r="I1561" s="406"/>
    </row>
    <row r="1562" spans="1:9" ht="12.75" customHeight="1" hidden="1">
      <c r="A1562" s="21"/>
      <c r="B1562" s="29">
        <v>3121</v>
      </c>
      <c r="C1562" s="30" t="s">
        <v>76</v>
      </c>
      <c r="D1562" s="375"/>
      <c r="E1562" s="375"/>
      <c r="F1562" s="41"/>
      <c r="G1562" s="41"/>
      <c r="H1562" s="405"/>
      <c r="I1562" s="406"/>
    </row>
    <row r="1563" spans="1:9" ht="12.75" customHeight="1">
      <c r="A1563" s="21"/>
      <c r="B1563" s="29">
        <v>3122</v>
      </c>
      <c r="C1563" s="30" t="s">
        <v>77</v>
      </c>
      <c r="D1563" s="375"/>
      <c r="E1563" s="375"/>
      <c r="F1563" s="41"/>
      <c r="G1563" s="41">
        <f>'2019-2 (п.11)'!M8</f>
        <v>9220.386</v>
      </c>
      <c r="H1563" s="407"/>
      <c r="I1563" s="408"/>
    </row>
    <row r="1564" spans="1:9" ht="12.75" customHeight="1" hidden="1">
      <c r="A1564" s="21"/>
      <c r="B1564" s="29">
        <v>3130</v>
      </c>
      <c r="C1564" s="30" t="s">
        <v>78</v>
      </c>
      <c r="D1564" s="374">
        <f>D1565+D1566</f>
        <v>0</v>
      </c>
      <c r="E1564" s="374">
        <f>E1565+E1566</f>
        <v>0</v>
      </c>
      <c r="F1564" s="40">
        <f>F1565+F1566</f>
        <v>0</v>
      </c>
      <c r="G1564" s="40">
        <f>G1565+G1566</f>
        <v>0</v>
      </c>
      <c r="H1564" s="402"/>
      <c r="I1564" s="402"/>
    </row>
    <row r="1565" spans="1:9" ht="12.75" customHeight="1" hidden="1">
      <c r="A1565" s="21"/>
      <c r="B1565" s="29">
        <v>3131</v>
      </c>
      <c r="C1565" s="30" t="s">
        <v>79</v>
      </c>
      <c r="D1565" s="375"/>
      <c r="E1565" s="375"/>
      <c r="F1565" s="41"/>
      <c r="G1565" s="41"/>
      <c r="H1565" s="402"/>
      <c r="I1565" s="402"/>
    </row>
    <row r="1566" spans="1:9" ht="12.75" customHeight="1" hidden="1">
      <c r="A1566" s="21"/>
      <c r="B1566" s="29">
        <v>3132</v>
      </c>
      <c r="C1566" s="30" t="s">
        <v>80</v>
      </c>
      <c r="D1566" s="375"/>
      <c r="E1566" s="375"/>
      <c r="F1566" s="41"/>
      <c r="G1566" s="41"/>
      <c r="H1566" s="402"/>
      <c r="I1566" s="402"/>
    </row>
    <row r="1567" spans="1:9" ht="12.75" customHeight="1">
      <c r="A1567" s="21"/>
      <c r="B1567" s="29">
        <v>3140</v>
      </c>
      <c r="C1567" s="30" t="s">
        <v>81</v>
      </c>
      <c r="D1567" s="374">
        <f>D1568+D1569+D1570</f>
        <v>221.34</v>
      </c>
      <c r="E1567" s="374">
        <f>E1568+E1569+E1570</f>
        <v>5821.614</v>
      </c>
      <c r="F1567" s="40">
        <f>F1568+F1569+F1570</f>
        <v>0</v>
      </c>
      <c r="G1567" s="40">
        <f>G1568+G1569+G1570</f>
        <v>7547.212</v>
      </c>
      <c r="H1567" s="403" t="s">
        <v>158</v>
      </c>
      <c r="I1567" s="404"/>
    </row>
    <row r="1568" spans="1:9" ht="12.75" customHeight="1" hidden="1">
      <c r="A1568" s="21"/>
      <c r="B1568" s="29">
        <v>3141</v>
      </c>
      <c r="C1568" s="30" t="s">
        <v>82</v>
      </c>
      <c r="D1568" s="375"/>
      <c r="E1568" s="375"/>
      <c r="F1568" s="41"/>
      <c r="G1568" s="41"/>
      <c r="H1568" s="405"/>
      <c r="I1568" s="406"/>
    </row>
    <row r="1569" spans="1:9" ht="12.75" customHeight="1">
      <c r="A1569" s="21"/>
      <c r="B1569" s="29">
        <v>3142</v>
      </c>
      <c r="C1569" s="30" t="s">
        <v>83</v>
      </c>
      <c r="D1569" s="375">
        <v>221.34</v>
      </c>
      <c r="E1569" s="375">
        <v>5821.614</v>
      </c>
      <c r="F1569" s="41"/>
      <c r="G1569" s="41">
        <f>'2019-2 (п.11)'!M9</f>
        <v>7547.212</v>
      </c>
      <c r="H1569" s="405"/>
      <c r="I1569" s="406"/>
    </row>
    <row r="1570" spans="1:9" ht="12.75" customHeight="1" hidden="1">
      <c r="A1570" s="21"/>
      <c r="B1570" s="29">
        <v>3143</v>
      </c>
      <c r="C1570" s="30" t="s">
        <v>84</v>
      </c>
      <c r="D1570" s="375"/>
      <c r="E1570" s="375"/>
      <c r="F1570" s="41"/>
      <c r="G1570" s="41"/>
      <c r="H1570" s="405"/>
      <c r="I1570" s="406"/>
    </row>
    <row r="1571" spans="1:9" ht="12.75" customHeight="1" hidden="1">
      <c r="A1571" s="21"/>
      <c r="B1571" s="29">
        <v>3150</v>
      </c>
      <c r="C1571" s="30" t="s">
        <v>85</v>
      </c>
      <c r="D1571" s="375"/>
      <c r="E1571" s="375"/>
      <c r="F1571" s="41"/>
      <c r="G1571" s="41"/>
      <c r="H1571" s="405"/>
      <c r="I1571" s="406"/>
    </row>
    <row r="1572" spans="1:9" ht="12.75" customHeight="1" hidden="1">
      <c r="A1572" s="21"/>
      <c r="B1572" s="29">
        <v>3160</v>
      </c>
      <c r="C1572" s="30" t="s">
        <v>86</v>
      </c>
      <c r="D1572" s="375"/>
      <c r="E1572" s="375"/>
      <c r="F1572" s="41"/>
      <c r="G1572" s="41"/>
      <c r="H1572" s="405"/>
      <c r="I1572" s="406"/>
    </row>
    <row r="1573" spans="1:9" ht="12.75" customHeight="1" hidden="1">
      <c r="A1573" s="21"/>
      <c r="B1573" s="27">
        <v>3200</v>
      </c>
      <c r="C1573" s="28" t="s">
        <v>87</v>
      </c>
      <c r="D1573" s="374">
        <f>D1574+D1575+D1576+D1577</f>
        <v>0</v>
      </c>
      <c r="E1573" s="374">
        <f>E1574+E1575+E1576+E1577</f>
        <v>0</v>
      </c>
      <c r="F1573" s="40">
        <f>F1574+F1575+F1576+F1577</f>
        <v>0</v>
      </c>
      <c r="G1573" s="40">
        <f>G1574+G1575+G1576+G1577</f>
        <v>0</v>
      </c>
      <c r="H1573" s="405"/>
      <c r="I1573" s="406"/>
    </row>
    <row r="1574" spans="1:9" ht="12.75" customHeight="1" hidden="1">
      <c r="A1574" s="21"/>
      <c r="B1574" s="29">
        <v>3210</v>
      </c>
      <c r="C1574" s="30" t="s">
        <v>88</v>
      </c>
      <c r="D1574" s="375"/>
      <c r="E1574" s="375"/>
      <c r="F1574" s="41"/>
      <c r="G1574" s="41"/>
      <c r="H1574" s="405"/>
      <c r="I1574" s="406"/>
    </row>
    <row r="1575" spans="1:9" ht="12.75" customHeight="1" hidden="1">
      <c r="A1575" s="21"/>
      <c r="B1575" s="29">
        <v>3220</v>
      </c>
      <c r="C1575" s="30" t="s">
        <v>89</v>
      </c>
      <c r="D1575" s="375"/>
      <c r="E1575" s="375"/>
      <c r="F1575" s="41"/>
      <c r="G1575" s="41"/>
      <c r="H1575" s="405"/>
      <c r="I1575" s="406"/>
    </row>
    <row r="1576" spans="1:9" ht="12.75" customHeight="1" hidden="1">
      <c r="A1576" s="21"/>
      <c r="B1576" s="29">
        <v>3230</v>
      </c>
      <c r="C1576" s="30" t="s">
        <v>90</v>
      </c>
      <c r="D1576" s="375"/>
      <c r="E1576" s="375"/>
      <c r="F1576" s="41"/>
      <c r="G1576" s="41"/>
      <c r="H1576" s="405"/>
      <c r="I1576" s="406"/>
    </row>
    <row r="1577" spans="1:9" ht="12.75" customHeight="1" hidden="1">
      <c r="A1577" s="21"/>
      <c r="B1577" s="29">
        <v>3240</v>
      </c>
      <c r="C1577" s="30" t="s">
        <v>91</v>
      </c>
      <c r="D1577" s="375"/>
      <c r="E1577" s="375"/>
      <c r="F1577" s="41"/>
      <c r="G1577" s="41"/>
      <c r="H1577" s="405"/>
      <c r="I1577" s="406"/>
    </row>
    <row r="1578" spans="1:10" s="19" customFormat="1" ht="12.75">
      <c r="A1578" s="7"/>
      <c r="B1578" s="7"/>
      <c r="C1578" s="20" t="s">
        <v>3</v>
      </c>
      <c r="D1578" s="372">
        <f>D1523+D1558</f>
        <v>221.34</v>
      </c>
      <c r="E1578" s="372">
        <f>E1523+E1558</f>
        <v>5821.614</v>
      </c>
      <c r="F1578" s="34">
        <f>F1523+F1558</f>
        <v>0</v>
      </c>
      <c r="G1578" s="34">
        <f>G1523+G1558</f>
        <v>16767.598</v>
      </c>
      <c r="H1578" s="407"/>
      <c r="I1578" s="408"/>
      <c r="J1578" s="353"/>
    </row>
    <row r="1579" spans="2:10" s="153" customFormat="1" ht="12.75">
      <c r="B1579" s="151">
        <v>1117366</v>
      </c>
      <c r="C1579" s="151" t="s">
        <v>233</v>
      </c>
      <c r="D1579" s="379">
        <f>D1580+D1615</f>
        <v>0</v>
      </c>
      <c r="E1579" s="379">
        <f>E1580+E1615</f>
        <v>8784.166</v>
      </c>
      <c r="F1579" s="152">
        <f>F1580+F1615</f>
        <v>0</v>
      </c>
      <c r="G1579" s="152">
        <f>G1580+G1615</f>
        <v>24400.46</v>
      </c>
      <c r="H1579" s="429"/>
      <c r="I1579" s="429"/>
      <c r="J1579" s="354"/>
    </row>
    <row r="1580" spans="1:9" ht="12.75" hidden="1">
      <c r="A1580" s="6"/>
      <c r="B1580" s="27">
        <v>2000</v>
      </c>
      <c r="C1580" s="28" t="s">
        <v>37</v>
      </c>
      <c r="D1580" s="370">
        <f>D1581+D1586+D1603+D1606+D1610+D1614</f>
        <v>0</v>
      </c>
      <c r="E1580" s="370">
        <f>E1581+E1586+E1603+E1606+E1610+E1614</f>
        <v>0</v>
      </c>
      <c r="F1580" s="33">
        <f>F1581+F1586+F1603+F1606+F1610+F1614</f>
        <v>0</v>
      </c>
      <c r="G1580" s="33">
        <f>G1581+G1586+G1603+G1606+G1610+G1614</f>
        <v>0</v>
      </c>
      <c r="H1580" s="402"/>
      <c r="I1580" s="402"/>
    </row>
    <row r="1581" spans="1:9" ht="12.75" customHeight="1" hidden="1">
      <c r="A1581" s="6"/>
      <c r="B1581" s="29">
        <v>2100</v>
      </c>
      <c r="C1581" s="30" t="s">
        <v>38</v>
      </c>
      <c r="D1581" s="371">
        <f>D1582+D1585</f>
        <v>0</v>
      </c>
      <c r="E1581" s="371">
        <f>E1582+E1585</f>
        <v>0</v>
      </c>
      <c r="F1581" s="35">
        <f>F1582+F1585</f>
        <v>0</v>
      </c>
      <c r="G1581" s="35">
        <f>G1582+G1585</f>
        <v>0</v>
      </c>
      <c r="H1581" s="402"/>
      <c r="I1581" s="402"/>
    </row>
    <row r="1582" spans="1:9" ht="12.75" hidden="1">
      <c r="A1582" s="6"/>
      <c r="B1582" s="29">
        <v>2110</v>
      </c>
      <c r="C1582" s="30" t="s">
        <v>39</v>
      </c>
      <c r="D1582" s="371">
        <f>D1583+D1584</f>
        <v>0</v>
      </c>
      <c r="E1582" s="371">
        <f>E1583+E1584</f>
        <v>0</v>
      </c>
      <c r="F1582" s="35">
        <f>F1583+F1584</f>
        <v>0</v>
      </c>
      <c r="G1582" s="35">
        <f>G1583+G1584</f>
        <v>0</v>
      </c>
      <c r="H1582" s="402"/>
      <c r="I1582" s="402"/>
    </row>
    <row r="1583" spans="1:9" ht="12.75" hidden="1">
      <c r="A1583" s="6"/>
      <c r="B1583" s="29">
        <v>2111</v>
      </c>
      <c r="C1583" s="30" t="s">
        <v>42</v>
      </c>
      <c r="D1583" s="372"/>
      <c r="E1583" s="372"/>
      <c r="F1583" s="34"/>
      <c r="G1583" s="34"/>
      <c r="H1583" s="402"/>
      <c r="I1583" s="402"/>
    </row>
    <row r="1584" spans="1:9" ht="12.75" customHeight="1" hidden="1">
      <c r="A1584" s="6"/>
      <c r="B1584" s="29">
        <v>2112</v>
      </c>
      <c r="C1584" s="30" t="s">
        <v>43</v>
      </c>
      <c r="D1584" s="372"/>
      <c r="E1584" s="372"/>
      <c r="F1584" s="34"/>
      <c r="G1584" s="34"/>
      <c r="H1584" s="402"/>
      <c r="I1584" s="402"/>
    </row>
    <row r="1585" spans="1:9" ht="12.75" hidden="1">
      <c r="A1585" s="6"/>
      <c r="B1585" s="29">
        <v>2120</v>
      </c>
      <c r="C1585" s="30" t="s">
        <v>44</v>
      </c>
      <c r="D1585" s="372"/>
      <c r="E1585" s="372"/>
      <c r="F1585" s="34"/>
      <c r="G1585" s="34"/>
      <c r="H1585" s="402"/>
      <c r="I1585" s="402"/>
    </row>
    <row r="1586" spans="1:9" ht="12.75" hidden="1">
      <c r="A1586" s="6"/>
      <c r="B1586" s="27">
        <v>2200</v>
      </c>
      <c r="C1586" s="28" t="s">
        <v>45</v>
      </c>
      <c r="D1586" s="370">
        <f>SUM(D1587:D1593)+D1600</f>
        <v>0</v>
      </c>
      <c r="E1586" s="370">
        <f>SUM(E1587:E1593)+E1600</f>
        <v>0</v>
      </c>
      <c r="F1586" s="33">
        <f>SUM(F1587:F1593)+F1600</f>
        <v>0</v>
      </c>
      <c r="G1586" s="33">
        <f>SUM(G1587:G1593)+G1600</f>
        <v>0</v>
      </c>
      <c r="H1586" s="402"/>
      <c r="I1586" s="402"/>
    </row>
    <row r="1587" spans="1:9" ht="12.75" customHeight="1" hidden="1">
      <c r="A1587" s="6"/>
      <c r="B1587" s="29">
        <v>2210</v>
      </c>
      <c r="C1587" s="30" t="s">
        <v>46</v>
      </c>
      <c r="D1587" s="372"/>
      <c r="E1587" s="372"/>
      <c r="F1587" s="34"/>
      <c r="G1587" s="34"/>
      <c r="H1587" s="402"/>
      <c r="I1587" s="402"/>
    </row>
    <row r="1588" spans="1:9" ht="12.75" customHeight="1" hidden="1">
      <c r="A1588" s="6"/>
      <c r="B1588" s="29">
        <v>2220</v>
      </c>
      <c r="C1588" s="30" t="s">
        <v>47</v>
      </c>
      <c r="D1588" s="372"/>
      <c r="E1588" s="372"/>
      <c r="F1588" s="34"/>
      <c r="G1588" s="34"/>
      <c r="H1588" s="402"/>
      <c r="I1588" s="402"/>
    </row>
    <row r="1589" spans="1:9" ht="12.75" customHeight="1" hidden="1">
      <c r="A1589" s="6"/>
      <c r="B1589" s="29">
        <v>2230</v>
      </c>
      <c r="C1589" s="30" t="s">
        <v>48</v>
      </c>
      <c r="D1589" s="372"/>
      <c r="E1589" s="372"/>
      <c r="F1589" s="34"/>
      <c r="G1589" s="34"/>
      <c r="H1589" s="402"/>
      <c r="I1589" s="402"/>
    </row>
    <row r="1590" spans="1:9" ht="12.75" hidden="1">
      <c r="A1590" s="6"/>
      <c r="B1590" s="29">
        <v>2240</v>
      </c>
      <c r="C1590" s="30" t="s">
        <v>49</v>
      </c>
      <c r="D1590" s="372"/>
      <c r="E1590" s="372"/>
      <c r="F1590" s="34"/>
      <c r="G1590" s="34"/>
      <c r="H1590" s="402"/>
      <c r="I1590" s="402"/>
    </row>
    <row r="1591" spans="1:9" ht="12.75" hidden="1">
      <c r="A1591" s="6"/>
      <c r="B1591" s="29">
        <v>2250</v>
      </c>
      <c r="C1591" s="30" t="s">
        <v>50</v>
      </c>
      <c r="D1591" s="372"/>
      <c r="E1591" s="372"/>
      <c r="F1591" s="34"/>
      <c r="G1591" s="34"/>
      <c r="H1591" s="402"/>
      <c r="I1591" s="402"/>
    </row>
    <row r="1592" spans="1:9" ht="12.75" customHeight="1" hidden="1">
      <c r="A1592" s="6"/>
      <c r="B1592" s="29">
        <v>2260</v>
      </c>
      <c r="C1592" s="30" t="s">
        <v>51</v>
      </c>
      <c r="D1592" s="372"/>
      <c r="E1592" s="372"/>
      <c r="F1592" s="34"/>
      <c r="G1592" s="34"/>
      <c r="H1592" s="402"/>
      <c r="I1592" s="402"/>
    </row>
    <row r="1593" spans="1:9" ht="12.75" hidden="1">
      <c r="A1593" s="6"/>
      <c r="B1593" s="27">
        <v>2270</v>
      </c>
      <c r="C1593" s="28" t="s">
        <v>52</v>
      </c>
      <c r="D1593" s="370">
        <f>D1594+D1595+D1596+D1597+D1598+D1599</f>
        <v>0</v>
      </c>
      <c r="E1593" s="370">
        <f>E1594+E1595+E1596+E1597+E1598+E1599</f>
        <v>0</v>
      </c>
      <c r="F1593" s="33">
        <f>F1594+F1595+F1596+F1597+F1598+F1599</f>
        <v>0</v>
      </c>
      <c r="G1593" s="33">
        <f>G1594+G1595+G1596+G1597+G1598+G1599</f>
        <v>0</v>
      </c>
      <c r="H1593" s="402"/>
      <c r="I1593" s="402"/>
    </row>
    <row r="1594" spans="1:9" ht="12.75" hidden="1">
      <c r="A1594" s="6"/>
      <c r="B1594" s="29">
        <v>2271</v>
      </c>
      <c r="C1594" s="30" t="s">
        <v>53</v>
      </c>
      <c r="D1594" s="372"/>
      <c r="E1594" s="372"/>
      <c r="F1594" s="34"/>
      <c r="G1594" s="34"/>
      <c r="H1594" s="402"/>
      <c r="I1594" s="402"/>
    </row>
    <row r="1595" spans="1:9" ht="12.75" hidden="1">
      <c r="A1595" s="6"/>
      <c r="B1595" s="29">
        <v>2272</v>
      </c>
      <c r="C1595" s="30" t="s">
        <v>54</v>
      </c>
      <c r="D1595" s="372"/>
      <c r="E1595" s="372"/>
      <c r="F1595" s="34"/>
      <c r="G1595" s="34"/>
      <c r="H1595" s="402"/>
      <c r="I1595" s="402"/>
    </row>
    <row r="1596" spans="1:9" ht="12.75" hidden="1">
      <c r="A1596" s="6"/>
      <c r="B1596" s="29">
        <v>2273</v>
      </c>
      <c r="C1596" s="30" t="s">
        <v>55</v>
      </c>
      <c r="D1596" s="372"/>
      <c r="E1596" s="372"/>
      <c r="F1596" s="34"/>
      <c r="G1596" s="34"/>
      <c r="H1596" s="402"/>
      <c r="I1596" s="402"/>
    </row>
    <row r="1597" spans="1:9" ht="12.75" customHeight="1" hidden="1">
      <c r="A1597" s="6"/>
      <c r="B1597" s="29">
        <v>2274</v>
      </c>
      <c r="C1597" s="30" t="s">
        <v>56</v>
      </c>
      <c r="D1597" s="372"/>
      <c r="E1597" s="372"/>
      <c r="F1597" s="34"/>
      <c r="G1597" s="34"/>
      <c r="H1597" s="402"/>
      <c r="I1597" s="402"/>
    </row>
    <row r="1598" spans="1:9" ht="12.75" customHeight="1" hidden="1">
      <c r="A1598" s="6"/>
      <c r="B1598" s="29">
        <v>2275</v>
      </c>
      <c r="C1598" s="30" t="s">
        <v>57</v>
      </c>
      <c r="D1598" s="372"/>
      <c r="E1598" s="372"/>
      <c r="F1598" s="34"/>
      <c r="G1598" s="34"/>
      <c r="H1598" s="402"/>
      <c r="I1598" s="402"/>
    </row>
    <row r="1599" spans="1:9" ht="12.75" customHeight="1" hidden="1">
      <c r="A1599" s="6"/>
      <c r="B1599" s="31">
        <v>2276</v>
      </c>
      <c r="C1599" s="32" t="s">
        <v>58</v>
      </c>
      <c r="D1599" s="372"/>
      <c r="E1599" s="372"/>
      <c r="F1599" s="34"/>
      <c r="G1599" s="34"/>
      <c r="H1599" s="402"/>
      <c r="I1599" s="402"/>
    </row>
    <row r="1600" spans="1:9" ht="12.75" customHeight="1" hidden="1">
      <c r="A1600" s="6"/>
      <c r="B1600" s="27">
        <v>2280</v>
      </c>
      <c r="C1600" s="28" t="s">
        <v>59</v>
      </c>
      <c r="D1600" s="370">
        <f>D1601+D1602</f>
        <v>0</v>
      </c>
      <c r="E1600" s="370">
        <f>E1601+E1602</f>
        <v>0</v>
      </c>
      <c r="F1600" s="33">
        <f>F1601+F1602</f>
        <v>0</v>
      </c>
      <c r="G1600" s="33">
        <f>G1601+G1602</f>
        <v>0</v>
      </c>
      <c r="H1600" s="402"/>
      <c r="I1600" s="402"/>
    </row>
    <row r="1601" spans="1:9" ht="12.75" customHeight="1" hidden="1">
      <c r="A1601" s="6"/>
      <c r="B1601" s="29">
        <v>2281</v>
      </c>
      <c r="C1601" s="30" t="s">
        <v>60</v>
      </c>
      <c r="D1601" s="372"/>
      <c r="E1601" s="372"/>
      <c r="F1601" s="34"/>
      <c r="G1601" s="34"/>
      <c r="H1601" s="402"/>
      <c r="I1601" s="402"/>
    </row>
    <row r="1602" spans="1:9" ht="12.75" customHeight="1" hidden="1">
      <c r="A1602" s="6"/>
      <c r="B1602" s="29">
        <v>2282</v>
      </c>
      <c r="C1602" s="30" t="s">
        <v>61</v>
      </c>
      <c r="D1602" s="372"/>
      <c r="E1602" s="372"/>
      <c r="F1602" s="34"/>
      <c r="G1602" s="34"/>
      <c r="H1602" s="402"/>
      <c r="I1602" s="402"/>
    </row>
    <row r="1603" spans="1:9" ht="12.75" customHeight="1" hidden="1">
      <c r="A1603" s="6"/>
      <c r="B1603" s="27">
        <v>2400</v>
      </c>
      <c r="C1603" s="28" t="s">
        <v>62</v>
      </c>
      <c r="D1603" s="372">
        <f>D1604+D1605</f>
        <v>0</v>
      </c>
      <c r="E1603" s="372">
        <f>E1604+E1605</f>
        <v>0</v>
      </c>
      <c r="F1603" s="34">
        <f>F1604+F1605</f>
        <v>0</v>
      </c>
      <c r="G1603" s="34">
        <f>G1604+G1605</f>
        <v>0</v>
      </c>
      <c r="H1603" s="402"/>
      <c r="I1603" s="402"/>
    </row>
    <row r="1604" spans="1:9" ht="12.75" customHeight="1" hidden="1">
      <c r="A1604" s="6"/>
      <c r="B1604" s="29">
        <v>2410</v>
      </c>
      <c r="C1604" s="30" t="s">
        <v>63</v>
      </c>
      <c r="D1604" s="372"/>
      <c r="E1604" s="372"/>
      <c r="F1604" s="34"/>
      <c r="G1604" s="34"/>
      <c r="H1604" s="402"/>
      <c r="I1604" s="402"/>
    </row>
    <row r="1605" spans="1:9" ht="12.75" customHeight="1" hidden="1">
      <c r="A1605" s="6"/>
      <c r="B1605" s="29">
        <v>2420</v>
      </c>
      <c r="C1605" s="30" t="s">
        <v>64</v>
      </c>
      <c r="D1605" s="372"/>
      <c r="E1605" s="372"/>
      <c r="F1605" s="34"/>
      <c r="G1605" s="34"/>
      <c r="H1605" s="402"/>
      <c r="I1605" s="402"/>
    </row>
    <row r="1606" spans="1:9" ht="12.75" customHeight="1" hidden="1">
      <c r="A1606" s="6"/>
      <c r="B1606" s="27">
        <v>2600</v>
      </c>
      <c r="C1606" s="28" t="s">
        <v>65</v>
      </c>
      <c r="D1606" s="370">
        <f>D1607+D1608+D1609</f>
        <v>0</v>
      </c>
      <c r="E1606" s="370">
        <f>E1607+E1608+E1609</f>
        <v>0</v>
      </c>
      <c r="F1606" s="33">
        <f>F1607+F1608+F1609</f>
        <v>0</v>
      </c>
      <c r="G1606" s="33">
        <f>G1607+G1608+G1609</f>
        <v>0</v>
      </c>
      <c r="H1606" s="402"/>
      <c r="I1606" s="402"/>
    </row>
    <row r="1607" spans="1:9" ht="12.75" customHeight="1" hidden="1">
      <c r="A1607" s="6"/>
      <c r="B1607" s="29">
        <v>2610</v>
      </c>
      <c r="C1607" s="30" t="s">
        <v>66</v>
      </c>
      <c r="D1607" s="372"/>
      <c r="E1607" s="372"/>
      <c r="F1607" s="34"/>
      <c r="G1607" s="34"/>
      <c r="H1607" s="402"/>
      <c r="I1607" s="402"/>
    </row>
    <row r="1608" spans="1:9" ht="12.75" customHeight="1" hidden="1">
      <c r="A1608" s="6"/>
      <c r="B1608" s="29">
        <v>2620</v>
      </c>
      <c r="C1608" s="30" t="s">
        <v>67</v>
      </c>
      <c r="D1608" s="372"/>
      <c r="E1608" s="372"/>
      <c r="F1608" s="34"/>
      <c r="G1608" s="34"/>
      <c r="H1608" s="402"/>
      <c r="I1608" s="402"/>
    </row>
    <row r="1609" spans="1:9" ht="12.75" customHeight="1" hidden="1">
      <c r="A1609" s="6"/>
      <c r="B1609" s="29">
        <v>2630</v>
      </c>
      <c r="C1609" s="30" t="s">
        <v>68</v>
      </c>
      <c r="D1609" s="372"/>
      <c r="E1609" s="372"/>
      <c r="F1609" s="34"/>
      <c r="G1609" s="34"/>
      <c r="H1609" s="402"/>
      <c r="I1609" s="402"/>
    </row>
    <row r="1610" spans="1:9" ht="12.75" hidden="1">
      <c r="A1610" s="6"/>
      <c r="B1610" s="27">
        <v>2700</v>
      </c>
      <c r="C1610" s="28" t="s">
        <v>69</v>
      </c>
      <c r="D1610" s="370">
        <f>D1611+D1612+D1613</f>
        <v>0</v>
      </c>
      <c r="E1610" s="370">
        <f>E1611+E1612+E1613</f>
        <v>0</v>
      </c>
      <c r="F1610" s="33">
        <f>F1611+F1612+F1613</f>
        <v>0</v>
      </c>
      <c r="G1610" s="33">
        <f>G1611+G1612+G1613</f>
        <v>0</v>
      </c>
      <c r="H1610" s="402"/>
      <c r="I1610" s="402"/>
    </row>
    <row r="1611" spans="1:9" ht="12.75" customHeight="1" hidden="1">
      <c r="A1611" s="6"/>
      <c r="B1611" s="29">
        <v>2710</v>
      </c>
      <c r="C1611" s="30" t="s">
        <v>70</v>
      </c>
      <c r="D1611" s="373"/>
      <c r="E1611" s="373"/>
      <c r="F1611" s="42"/>
      <c r="G1611" s="42"/>
      <c r="H1611" s="402"/>
      <c r="I1611" s="402"/>
    </row>
    <row r="1612" spans="1:9" ht="12.75" customHeight="1" hidden="1">
      <c r="A1612" s="6"/>
      <c r="B1612" s="29">
        <v>2720</v>
      </c>
      <c r="C1612" s="30" t="s">
        <v>71</v>
      </c>
      <c r="D1612" s="373"/>
      <c r="E1612" s="373"/>
      <c r="F1612" s="34"/>
      <c r="G1612" s="42"/>
      <c r="H1612" s="402"/>
      <c r="I1612" s="402"/>
    </row>
    <row r="1613" spans="1:9" ht="12.75" hidden="1">
      <c r="A1613" s="6"/>
      <c r="B1613" s="29">
        <v>2730</v>
      </c>
      <c r="C1613" s="30" t="s">
        <v>72</v>
      </c>
      <c r="D1613" s="372"/>
      <c r="E1613" s="372"/>
      <c r="F1613" s="34"/>
      <c r="G1613" s="42"/>
      <c r="H1613" s="402"/>
      <c r="I1613" s="402"/>
    </row>
    <row r="1614" spans="1:9" ht="12.75" customHeight="1" hidden="1">
      <c r="A1614" s="6"/>
      <c r="B1614" s="27">
        <v>2800</v>
      </c>
      <c r="C1614" s="28" t="s">
        <v>73</v>
      </c>
      <c r="D1614" s="373"/>
      <c r="E1614" s="373"/>
      <c r="F1614" s="34"/>
      <c r="G1614" s="42"/>
      <c r="H1614" s="402"/>
      <c r="I1614" s="402"/>
    </row>
    <row r="1615" spans="1:9" ht="13.5" customHeight="1">
      <c r="A1615" s="21"/>
      <c r="B1615" s="27">
        <v>3000</v>
      </c>
      <c r="C1615" s="28" t="s">
        <v>40</v>
      </c>
      <c r="D1615" s="374">
        <f>D1616+D1630</f>
        <v>0</v>
      </c>
      <c r="E1615" s="374">
        <f>E1616+E1630</f>
        <v>8784.166</v>
      </c>
      <c r="F1615" s="40">
        <f>F1616+F1630</f>
        <v>0</v>
      </c>
      <c r="G1615" s="40">
        <f>G1616+G1630</f>
        <v>24400.46</v>
      </c>
      <c r="H1615" s="403" t="s">
        <v>121</v>
      </c>
      <c r="I1615" s="404"/>
    </row>
    <row r="1616" spans="1:10" ht="13.5" customHeight="1">
      <c r="A1616" s="21"/>
      <c r="B1616" s="27">
        <v>3100</v>
      </c>
      <c r="C1616" s="28" t="s">
        <v>41</v>
      </c>
      <c r="D1616" s="374">
        <f>D1617+D1618+D1621+D1624+D1628+D1629+D1630</f>
        <v>0</v>
      </c>
      <c r="E1616" s="374">
        <f>E1617+E1618+E1621+E1624+E1628+E1629+E1630</f>
        <v>8784.166</v>
      </c>
      <c r="F1616" s="40">
        <f>F1617+F1618+F1621+F1624+F1628+F1629+F1630</f>
        <v>0</v>
      </c>
      <c r="G1616" s="40">
        <f>G1617+G1618+G1621+G1624+G1628+G1629+G1630</f>
        <v>24400.46</v>
      </c>
      <c r="H1616" s="405"/>
      <c r="I1616" s="406"/>
      <c r="J1616" s="351"/>
    </row>
    <row r="1617" spans="1:9" ht="13.5" customHeight="1" hidden="1">
      <c r="A1617" s="21"/>
      <c r="B1617" s="29">
        <v>3110</v>
      </c>
      <c r="C1617" s="30" t="s">
        <v>74</v>
      </c>
      <c r="D1617" s="373"/>
      <c r="E1617" s="373"/>
      <c r="F1617" s="41"/>
      <c r="G1617" s="41"/>
      <c r="H1617" s="405"/>
      <c r="I1617" s="406"/>
    </row>
    <row r="1618" spans="1:9" ht="12.75" customHeight="1" hidden="1">
      <c r="A1618" s="21"/>
      <c r="B1618" s="29">
        <v>3120</v>
      </c>
      <c r="C1618" s="30" t="s">
        <v>75</v>
      </c>
      <c r="D1618" s="374">
        <f>D1619+D1620</f>
        <v>0</v>
      </c>
      <c r="E1618" s="374">
        <f>E1619+E1620</f>
        <v>0</v>
      </c>
      <c r="F1618" s="40">
        <f>F1619+F1620</f>
        <v>0</v>
      </c>
      <c r="G1618" s="40">
        <f>G1619+G1620</f>
        <v>0</v>
      </c>
      <c r="H1618" s="405"/>
      <c r="I1618" s="406"/>
    </row>
    <row r="1619" spans="1:9" ht="12.75" customHeight="1" hidden="1">
      <c r="A1619" s="21"/>
      <c r="B1619" s="29">
        <v>3121</v>
      </c>
      <c r="C1619" s="30" t="s">
        <v>76</v>
      </c>
      <c r="D1619" s="375"/>
      <c r="E1619" s="375"/>
      <c r="F1619" s="41"/>
      <c r="G1619" s="41"/>
      <c r="H1619" s="405"/>
      <c r="I1619" s="406"/>
    </row>
    <row r="1620" spans="1:9" ht="12.75" customHeight="1" hidden="1">
      <c r="A1620" s="21"/>
      <c r="B1620" s="29">
        <v>3122</v>
      </c>
      <c r="C1620" s="30" t="s">
        <v>77</v>
      </c>
      <c r="D1620" s="375"/>
      <c r="E1620" s="375"/>
      <c r="F1620" s="41"/>
      <c r="G1620" s="41"/>
      <c r="H1620" s="405"/>
      <c r="I1620" s="406"/>
    </row>
    <row r="1621" spans="1:9" ht="12" customHeight="1" hidden="1">
      <c r="A1621" s="21"/>
      <c r="B1621" s="29">
        <v>3130</v>
      </c>
      <c r="C1621" s="30" t="s">
        <v>78</v>
      </c>
      <c r="D1621" s="374">
        <f>D1622+D1623</f>
        <v>0</v>
      </c>
      <c r="E1621" s="374">
        <f>E1622+E1623</f>
        <v>0</v>
      </c>
      <c r="F1621" s="40">
        <f>F1622+F1623</f>
        <v>0</v>
      </c>
      <c r="G1621" s="40">
        <f>G1622+G1623</f>
        <v>0</v>
      </c>
      <c r="H1621" s="405"/>
      <c r="I1621" s="406"/>
    </row>
    <row r="1622" spans="1:9" ht="12.75" customHeight="1" hidden="1">
      <c r="A1622" s="21"/>
      <c r="B1622" s="29">
        <v>3131</v>
      </c>
      <c r="C1622" s="30" t="s">
        <v>79</v>
      </c>
      <c r="D1622" s="375"/>
      <c r="E1622" s="375"/>
      <c r="F1622" s="41"/>
      <c r="G1622" s="41"/>
      <c r="H1622" s="405"/>
      <c r="I1622" s="406"/>
    </row>
    <row r="1623" spans="1:9" ht="12.75" customHeight="1" hidden="1">
      <c r="A1623" s="21"/>
      <c r="B1623" s="29">
        <v>3132</v>
      </c>
      <c r="C1623" s="30" t="s">
        <v>80</v>
      </c>
      <c r="D1623" s="375"/>
      <c r="E1623" s="375"/>
      <c r="F1623" s="41"/>
      <c r="G1623" s="41"/>
      <c r="H1623" s="405"/>
      <c r="I1623" s="406"/>
    </row>
    <row r="1624" spans="1:9" ht="12.75" customHeight="1">
      <c r="A1624" s="21"/>
      <c r="B1624" s="29">
        <v>3140</v>
      </c>
      <c r="C1624" s="30" t="s">
        <v>81</v>
      </c>
      <c r="D1624" s="374">
        <f>D1625+D1626+D1627</f>
        <v>0</v>
      </c>
      <c r="E1624" s="374">
        <f>E1625+E1626+E1627</f>
        <v>8784.166</v>
      </c>
      <c r="F1624" s="40">
        <f>F1625+F1626+F1627</f>
        <v>0</v>
      </c>
      <c r="G1624" s="40">
        <f>G1625+G1626+G1627</f>
        <v>24400.46</v>
      </c>
      <c r="H1624" s="405"/>
      <c r="I1624" s="406"/>
    </row>
    <row r="1625" spans="1:9" ht="12.75" customHeight="1" hidden="1">
      <c r="A1625" s="21"/>
      <c r="B1625" s="29">
        <v>3141</v>
      </c>
      <c r="C1625" s="30" t="s">
        <v>82</v>
      </c>
      <c r="D1625" s="375"/>
      <c r="E1625" s="375"/>
      <c r="F1625" s="41"/>
      <c r="G1625" s="41"/>
      <c r="H1625" s="405"/>
      <c r="I1625" s="406"/>
    </row>
    <row r="1626" spans="1:9" ht="12.75" customHeight="1">
      <c r="A1626" s="21"/>
      <c r="B1626" s="29">
        <v>3142</v>
      </c>
      <c r="C1626" s="30" t="s">
        <v>83</v>
      </c>
      <c r="D1626" s="375"/>
      <c r="E1626" s="375">
        <v>8784.166</v>
      </c>
      <c r="F1626" s="41"/>
      <c r="G1626" s="41">
        <f>'2019-2 (п.11)'!M11</f>
        <v>24400.46</v>
      </c>
      <c r="H1626" s="407"/>
      <c r="I1626" s="408"/>
    </row>
    <row r="1627" spans="1:9" ht="12.75" customHeight="1" hidden="1">
      <c r="A1627" s="21"/>
      <c r="B1627" s="29">
        <v>3143</v>
      </c>
      <c r="C1627" s="30" t="s">
        <v>84</v>
      </c>
      <c r="D1627" s="375"/>
      <c r="E1627" s="375"/>
      <c r="F1627" s="41"/>
      <c r="G1627" s="41"/>
      <c r="H1627" s="402"/>
      <c r="I1627" s="402"/>
    </row>
    <row r="1628" spans="1:9" ht="12.75" customHeight="1" hidden="1">
      <c r="A1628" s="21"/>
      <c r="B1628" s="29">
        <v>3150</v>
      </c>
      <c r="C1628" s="30" t="s">
        <v>85</v>
      </c>
      <c r="D1628" s="375"/>
      <c r="E1628" s="375"/>
      <c r="F1628" s="41"/>
      <c r="G1628" s="41"/>
      <c r="H1628" s="402"/>
      <c r="I1628" s="402"/>
    </row>
    <row r="1629" spans="1:9" ht="12.75" customHeight="1" hidden="1">
      <c r="A1629" s="21"/>
      <c r="B1629" s="29">
        <v>3160</v>
      </c>
      <c r="C1629" s="30" t="s">
        <v>86</v>
      </c>
      <c r="D1629" s="375"/>
      <c r="E1629" s="375"/>
      <c r="F1629" s="41"/>
      <c r="G1629" s="41"/>
      <c r="H1629" s="402"/>
      <c r="I1629" s="402"/>
    </row>
    <row r="1630" spans="1:9" ht="12.75" customHeight="1" hidden="1">
      <c r="A1630" s="21"/>
      <c r="B1630" s="27">
        <v>3200</v>
      </c>
      <c r="C1630" s="28" t="s">
        <v>87</v>
      </c>
      <c r="D1630" s="374">
        <f>D1631+D1632+D1633+D1634</f>
        <v>0</v>
      </c>
      <c r="E1630" s="374">
        <f>E1631+E1632+E1633+E1634</f>
        <v>0</v>
      </c>
      <c r="F1630" s="40">
        <f>F1631+F1632+F1633+F1634</f>
        <v>0</v>
      </c>
      <c r="G1630" s="40">
        <f>G1631+G1632+G1633+G1634</f>
        <v>0</v>
      </c>
      <c r="H1630" s="402"/>
      <c r="I1630" s="402"/>
    </row>
    <row r="1631" spans="1:9" ht="12.75" customHeight="1" hidden="1">
      <c r="A1631" s="21"/>
      <c r="B1631" s="29">
        <v>3210</v>
      </c>
      <c r="C1631" s="30" t="s">
        <v>88</v>
      </c>
      <c r="D1631" s="375"/>
      <c r="E1631" s="375"/>
      <c r="F1631" s="41"/>
      <c r="G1631" s="41"/>
      <c r="H1631" s="402"/>
      <c r="I1631" s="402"/>
    </row>
    <row r="1632" spans="1:9" ht="12.75" customHeight="1" hidden="1">
      <c r="A1632" s="21"/>
      <c r="B1632" s="29">
        <v>3220</v>
      </c>
      <c r="C1632" s="30" t="s">
        <v>89</v>
      </c>
      <c r="D1632" s="375"/>
      <c r="E1632" s="375"/>
      <c r="F1632" s="41"/>
      <c r="G1632" s="41"/>
      <c r="H1632" s="402"/>
      <c r="I1632" s="402"/>
    </row>
    <row r="1633" spans="1:9" ht="12.75" customHeight="1" hidden="1">
      <c r="A1633" s="21"/>
      <c r="B1633" s="29">
        <v>3230</v>
      </c>
      <c r="C1633" s="30" t="s">
        <v>90</v>
      </c>
      <c r="D1633" s="375"/>
      <c r="E1633" s="375"/>
      <c r="F1633" s="41"/>
      <c r="G1633" s="41"/>
      <c r="H1633" s="402"/>
      <c r="I1633" s="402"/>
    </row>
    <row r="1634" spans="1:9" ht="12.75" customHeight="1" hidden="1">
      <c r="A1634" s="21"/>
      <c r="B1634" s="29">
        <v>3240</v>
      </c>
      <c r="C1634" s="30" t="s">
        <v>91</v>
      </c>
      <c r="D1634" s="375"/>
      <c r="E1634" s="375"/>
      <c r="F1634" s="41"/>
      <c r="G1634" s="41"/>
      <c r="H1634" s="402"/>
      <c r="I1634" s="402"/>
    </row>
    <row r="1635" spans="1:10" s="19" customFormat="1" ht="13.5" customHeight="1">
      <c r="A1635" s="7"/>
      <c r="B1635" s="7"/>
      <c r="C1635" s="20" t="s">
        <v>3</v>
      </c>
      <c r="D1635" s="372">
        <f>D1580+D1615</f>
        <v>0</v>
      </c>
      <c r="E1635" s="372">
        <f>E1580+E1615</f>
        <v>8784.166</v>
      </c>
      <c r="F1635" s="34">
        <f>F1580+F1615</f>
        <v>0</v>
      </c>
      <c r="G1635" s="34">
        <f>G1580+G1615</f>
        <v>24400.46</v>
      </c>
      <c r="H1635" s="402"/>
      <c r="I1635" s="402"/>
      <c r="J1635" s="353"/>
    </row>
    <row r="1636" spans="2:10" s="55" customFormat="1" ht="12.75">
      <c r="B1636" s="169">
        <v>1110000</v>
      </c>
      <c r="C1636" s="169" t="s">
        <v>234</v>
      </c>
      <c r="D1636" s="385">
        <f>D1637+D1672</f>
        <v>7342.120000000001</v>
      </c>
      <c r="E1636" s="385">
        <f>E1637+E1672</f>
        <v>39142.17999999999</v>
      </c>
      <c r="F1636" s="45">
        <f>F1637+F1672</f>
        <v>0</v>
      </c>
      <c r="G1636" s="45">
        <f>G1637+G1672</f>
        <v>117911.43299999999</v>
      </c>
      <c r="H1636" s="428"/>
      <c r="I1636" s="428"/>
      <c r="J1636" s="360"/>
    </row>
    <row r="1637" spans="1:10" s="153" customFormat="1" ht="12.75" hidden="1">
      <c r="A1637" s="151"/>
      <c r="B1637" s="157">
        <v>2000</v>
      </c>
      <c r="C1637" s="158" t="s">
        <v>37</v>
      </c>
      <c r="D1637" s="379">
        <f>D1638+D1643+D1660+D1663+D1667+D1671</f>
        <v>0</v>
      </c>
      <c r="E1637" s="379">
        <f>E1638+E1643+E1660+E1663+E1667+E1671</f>
        <v>0</v>
      </c>
      <c r="F1637" s="152">
        <f>F1638+F1643+F1660+F1663+F1667+F1671</f>
        <v>0</v>
      </c>
      <c r="G1637" s="152">
        <f>G1638+G1643+G1660+G1663+G1667+G1671</f>
        <v>0</v>
      </c>
      <c r="H1637" s="429"/>
      <c r="I1637" s="429"/>
      <c r="J1637" s="354"/>
    </row>
    <row r="1638" spans="1:10" s="153" customFormat="1" ht="12.75" customHeight="1" hidden="1">
      <c r="A1638" s="151"/>
      <c r="B1638" s="159">
        <v>2100</v>
      </c>
      <c r="C1638" s="160" t="s">
        <v>38</v>
      </c>
      <c r="D1638" s="380">
        <f>D1639+D1642</f>
        <v>0</v>
      </c>
      <c r="E1638" s="380">
        <f>E1639+E1642</f>
        <v>0</v>
      </c>
      <c r="F1638" s="164">
        <f>F1639+F1642</f>
        <v>0</v>
      </c>
      <c r="G1638" s="164">
        <f>G1639+G1642</f>
        <v>0</v>
      </c>
      <c r="H1638" s="429"/>
      <c r="I1638" s="429"/>
      <c r="J1638" s="354"/>
    </row>
    <row r="1639" spans="1:10" s="153" customFormat="1" ht="12.75" hidden="1">
      <c r="A1639" s="151"/>
      <c r="B1639" s="159">
        <v>2110</v>
      </c>
      <c r="C1639" s="160" t="s">
        <v>39</v>
      </c>
      <c r="D1639" s="380">
        <f>D1640+D1641</f>
        <v>0</v>
      </c>
      <c r="E1639" s="380">
        <f>E1640+E1641</f>
        <v>0</v>
      </c>
      <c r="F1639" s="164">
        <f>F1640+F1641</f>
        <v>0</v>
      </c>
      <c r="G1639" s="164">
        <f>G1640+G1641</f>
        <v>0</v>
      </c>
      <c r="H1639" s="429"/>
      <c r="I1639" s="429"/>
      <c r="J1639" s="354"/>
    </row>
    <row r="1640" spans="1:10" s="153" customFormat="1" ht="12.75" hidden="1">
      <c r="A1640" s="151"/>
      <c r="B1640" s="159">
        <v>2111</v>
      </c>
      <c r="C1640" s="160" t="s">
        <v>42</v>
      </c>
      <c r="D1640" s="381">
        <f>D1583+D1526+D1468+D1411+D1353</f>
        <v>0</v>
      </c>
      <c r="E1640" s="381">
        <f>E1583+E1526+E1468+E1411+E1353</f>
        <v>0</v>
      </c>
      <c r="F1640" s="170">
        <f>F1583+F1526+F1468+F1411+F1353</f>
        <v>0</v>
      </c>
      <c r="G1640" s="170">
        <f>G1583+G1526+G1468+G1411+G1353</f>
        <v>0</v>
      </c>
      <c r="H1640" s="429"/>
      <c r="I1640" s="429"/>
      <c r="J1640" s="354"/>
    </row>
    <row r="1641" spans="1:10" s="153" customFormat="1" ht="12.75" customHeight="1" hidden="1">
      <c r="A1641" s="151"/>
      <c r="B1641" s="159">
        <v>2112</v>
      </c>
      <c r="C1641" s="160" t="s">
        <v>43</v>
      </c>
      <c r="D1641" s="381">
        <f aca="true" t="shared" si="44" ref="D1641:G1642">D1584+D1527+D1469+D1412+D1354</f>
        <v>0</v>
      </c>
      <c r="E1641" s="381">
        <f t="shared" si="44"/>
        <v>0</v>
      </c>
      <c r="F1641" s="170">
        <f t="shared" si="44"/>
        <v>0</v>
      </c>
      <c r="G1641" s="170">
        <f t="shared" si="44"/>
        <v>0</v>
      </c>
      <c r="H1641" s="429"/>
      <c r="I1641" s="429"/>
      <c r="J1641" s="354"/>
    </row>
    <row r="1642" spans="1:10" s="153" customFormat="1" ht="12.75" hidden="1">
      <c r="A1642" s="151"/>
      <c r="B1642" s="159">
        <v>2120</v>
      </c>
      <c r="C1642" s="160" t="s">
        <v>44</v>
      </c>
      <c r="D1642" s="381">
        <f t="shared" si="44"/>
        <v>0</v>
      </c>
      <c r="E1642" s="381">
        <f t="shared" si="44"/>
        <v>0</v>
      </c>
      <c r="F1642" s="170">
        <f t="shared" si="44"/>
        <v>0</v>
      </c>
      <c r="G1642" s="170">
        <f t="shared" si="44"/>
        <v>0</v>
      </c>
      <c r="H1642" s="429"/>
      <c r="I1642" s="429"/>
      <c r="J1642" s="354"/>
    </row>
    <row r="1643" spans="1:10" s="153" customFormat="1" ht="12.75" hidden="1">
      <c r="A1643" s="151"/>
      <c r="B1643" s="157">
        <v>2200</v>
      </c>
      <c r="C1643" s="158" t="s">
        <v>45</v>
      </c>
      <c r="D1643" s="379">
        <f>SUM(D1644:D1650)+D1657</f>
        <v>0</v>
      </c>
      <c r="E1643" s="379">
        <f>SUM(E1644:E1650)+E1657</f>
        <v>0</v>
      </c>
      <c r="F1643" s="152">
        <f>SUM(F1644:F1650)+F1657</f>
        <v>0</v>
      </c>
      <c r="G1643" s="152">
        <f>SUM(G1644:G1650)+G1657</f>
        <v>0</v>
      </c>
      <c r="H1643" s="429"/>
      <c r="I1643" s="429"/>
      <c r="J1643" s="354"/>
    </row>
    <row r="1644" spans="1:10" s="153" customFormat="1" ht="12.75" customHeight="1" hidden="1">
      <c r="A1644" s="151"/>
      <c r="B1644" s="159">
        <v>2210</v>
      </c>
      <c r="C1644" s="160" t="s">
        <v>46</v>
      </c>
      <c r="D1644" s="381">
        <f aca="true" t="shared" si="45" ref="D1644:G1647">D1587+D1530+D1472+D1415+D1357</f>
        <v>0</v>
      </c>
      <c r="E1644" s="381">
        <f t="shared" si="45"/>
        <v>0</v>
      </c>
      <c r="F1644" s="170">
        <f t="shared" si="45"/>
        <v>0</v>
      </c>
      <c r="G1644" s="170">
        <f t="shared" si="45"/>
        <v>0</v>
      </c>
      <c r="H1644" s="429"/>
      <c r="I1644" s="429"/>
      <c r="J1644" s="354"/>
    </row>
    <row r="1645" spans="1:10" s="153" customFormat="1" ht="12.75" customHeight="1" hidden="1">
      <c r="A1645" s="151"/>
      <c r="B1645" s="159">
        <v>2220</v>
      </c>
      <c r="C1645" s="160" t="s">
        <v>47</v>
      </c>
      <c r="D1645" s="381">
        <f t="shared" si="45"/>
        <v>0</v>
      </c>
      <c r="E1645" s="381">
        <f t="shared" si="45"/>
        <v>0</v>
      </c>
      <c r="F1645" s="170">
        <f t="shared" si="45"/>
        <v>0</v>
      </c>
      <c r="G1645" s="170">
        <f t="shared" si="45"/>
        <v>0</v>
      </c>
      <c r="H1645" s="429"/>
      <c r="I1645" s="429"/>
      <c r="J1645" s="354"/>
    </row>
    <row r="1646" spans="1:10" s="153" customFormat="1" ht="12.75" customHeight="1" hidden="1">
      <c r="A1646" s="151"/>
      <c r="B1646" s="159">
        <v>2230</v>
      </c>
      <c r="C1646" s="160" t="s">
        <v>48</v>
      </c>
      <c r="D1646" s="381">
        <f t="shared" si="45"/>
        <v>0</v>
      </c>
      <c r="E1646" s="381">
        <f t="shared" si="45"/>
        <v>0</v>
      </c>
      <c r="F1646" s="170">
        <f t="shared" si="45"/>
        <v>0</v>
      </c>
      <c r="G1646" s="170">
        <f t="shared" si="45"/>
        <v>0</v>
      </c>
      <c r="H1646" s="429"/>
      <c r="I1646" s="429"/>
      <c r="J1646" s="354"/>
    </row>
    <row r="1647" spans="1:10" s="153" customFormat="1" ht="12.75" hidden="1">
      <c r="A1647" s="151"/>
      <c r="B1647" s="159">
        <v>2240</v>
      </c>
      <c r="C1647" s="160" t="s">
        <v>49</v>
      </c>
      <c r="D1647" s="381">
        <f t="shared" si="45"/>
        <v>0</v>
      </c>
      <c r="E1647" s="381">
        <f t="shared" si="45"/>
        <v>0</v>
      </c>
      <c r="F1647" s="170">
        <f t="shared" si="45"/>
        <v>0</v>
      </c>
      <c r="G1647" s="170">
        <f t="shared" si="45"/>
        <v>0</v>
      </c>
      <c r="H1647" s="429"/>
      <c r="I1647" s="429"/>
      <c r="J1647" s="354"/>
    </row>
    <row r="1648" spans="1:10" s="153" customFormat="1" ht="12.75" hidden="1">
      <c r="A1648" s="151"/>
      <c r="B1648" s="159">
        <v>2250</v>
      </c>
      <c r="C1648" s="160" t="s">
        <v>50</v>
      </c>
      <c r="D1648" s="381">
        <f aca="true" t="shared" si="46" ref="D1648:G1649">D1591+D1534+D1476+D1419+D1361</f>
        <v>0</v>
      </c>
      <c r="E1648" s="381">
        <f t="shared" si="46"/>
        <v>0</v>
      </c>
      <c r="F1648" s="170">
        <f t="shared" si="46"/>
        <v>0</v>
      </c>
      <c r="G1648" s="170">
        <f t="shared" si="46"/>
        <v>0</v>
      </c>
      <c r="H1648" s="429"/>
      <c r="I1648" s="429"/>
      <c r="J1648" s="354"/>
    </row>
    <row r="1649" spans="1:10" s="153" customFormat="1" ht="12.75" customHeight="1" hidden="1">
      <c r="A1649" s="151"/>
      <c r="B1649" s="159">
        <v>2260</v>
      </c>
      <c r="C1649" s="160" t="s">
        <v>51</v>
      </c>
      <c r="D1649" s="381">
        <f t="shared" si="46"/>
        <v>0</v>
      </c>
      <c r="E1649" s="381">
        <f t="shared" si="46"/>
        <v>0</v>
      </c>
      <c r="F1649" s="170">
        <f t="shared" si="46"/>
        <v>0</v>
      </c>
      <c r="G1649" s="170">
        <f t="shared" si="46"/>
        <v>0</v>
      </c>
      <c r="H1649" s="429"/>
      <c r="I1649" s="429"/>
      <c r="J1649" s="354"/>
    </row>
    <row r="1650" spans="1:10" s="153" customFormat="1" ht="12.75" hidden="1">
      <c r="A1650" s="151"/>
      <c r="B1650" s="157">
        <v>2270</v>
      </c>
      <c r="C1650" s="158" t="s">
        <v>52</v>
      </c>
      <c r="D1650" s="379">
        <f>D1651+D1652+D1653+D1654+D1655+D1656</f>
        <v>0</v>
      </c>
      <c r="E1650" s="379">
        <f>E1651+E1652+E1653+E1654+E1655+E1656</f>
        <v>0</v>
      </c>
      <c r="F1650" s="152">
        <f>F1651+F1652+F1653+F1654+F1655+F1656</f>
        <v>0</v>
      </c>
      <c r="G1650" s="152">
        <f>G1651+G1652+G1653+G1654+G1655+G1656</f>
        <v>0</v>
      </c>
      <c r="H1650" s="429"/>
      <c r="I1650" s="429"/>
      <c r="J1650" s="354"/>
    </row>
    <row r="1651" spans="1:10" s="153" customFormat="1" ht="12.75" hidden="1">
      <c r="A1651" s="151"/>
      <c r="B1651" s="159">
        <v>2271</v>
      </c>
      <c r="C1651" s="160" t="s">
        <v>53</v>
      </c>
      <c r="D1651" s="381">
        <f aca="true" t="shared" si="47" ref="D1651:G1654">D1594+D1537+D1479+D1422+D1364</f>
        <v>0</v>
      </c>
      <c r="E1651" s="381">
        <f t="shared" si="47"/>
        <v>0</v>
      </c>
      <c r="F1651" s="170">
        <f t="shared" si="47"/>
        <v>0</v>
      </c>
      <c r="G1651" s="170">
        <f t="shared" si="47"/>
        <v>0</v>
      </c>
      <c r="H1651" s="429"/>
      <c r="I1651" s="429"/>
      <c r="J1651" s="354"/>
    </row>
    <row r="1652" spans="1:10" s="153" customFormat="1" ht="12.75" hidden="1">
      <c r="A1652" s="151"/>
      <c r="B1652" s="159">
        <v>2272</v>
      </c>
      <c r="C1652" s="160" t="s">
        <v>54</v>
      </c>
      <c r="D1652" s="381">
        <f t="shared" si="47"/>
        <v>0</v>
      </c>
      <c r="E1652" s="381">
        <f t="shared" si="47"/>
        <v>0</v>
      </c>
      <c r="F1652" s="170">
        <f t="shared" si="47"/>
        <v>0</v>
      </c>
      <c r="G1652" s="170">
        <f t="shared" si="47"/>
        <v>0</v>
      </c>
      <c r="H1652" s="429"/>
      <c r="I1652" s="429"/>
      <c r="J1652" s="354"/>
    </row>
    <row r="1653" spans="1:10" s="153" customFormat="1" ht="12.75" hidden="1">
      <c r="A1653" s="151"/>
      <c r="B1653" s="159">
        <v>2273</v>
      </c>
      <c r="C1653" s="160" t="s">
        <v>55</v>
      </c>
      <c r="D1653" s="381">
        <f t="shared" si="47"/>
        <v>0</v>
      </c>
      <c r="E1653" s="381">
        <f t="shared" si="47"/>
        <v>0</v>
      </c>
      <c r="F1653" s="170">
        <f t="shared" si="47"/>
        <v>0</v>
      </c>
      <c r="G1653" s="170">
        <f t="shared" si="47"/>
        <v>0</v>
      </c>
      <c r="H1653" s="429"/>
      <c r="I1653" s="429"/>
      <c r="J1653" s="354"/>
    </row>
    <row r="1654" spans="1:10" s="153" customFormat="1" ht="12.75" customHeight="1" hidden="1">
      <c r="A1654" s="151"/>
      <c r="B1654" s="159">
        <v>2274</v>
      </c>
      <c r="C1654" s="160" t="s">
        <v>56</v>
      </c>
      <c r="D1654" s="381">
        <f t="shared" si="47"/>
        <v>0</v>
      </c>
      <c r="E1654" s="381">
        <f t="shared" si="47"/>
        <v>0</v>
      </c>
      <c r="F1654" s="170">
        <f t="shared" si="47"/>
        <v>0</v>
      </c>
      <c r="G1654" s="170">
        <f t="shared" si="47"/>
        <v>0</v>
      </c>
      <c r="H1654" s="429"/>
      <c r="I1654" s="429"/>
      <c r="J1654" s="354"/>
    </row>
    <row r="1655" spans="1:10" s="153" customFormat="1" ht="12.75" customHeight="1" hidden="1">
      <c r="A1655" s="151"/>
      <c r="B1655" s="159">
        <v>2275</v>
      </c>
      <c r="C1655" s="160" t="s">
        <v>57</v>
      </c>
      <c r="D1655" s="381">
        <f aca="true" t="shared" si="48" ref="D1655:G1656">D1598+D1541+D1483+D1426+D1368</f>
        <v>0</v>
      </c>
      <c r="E1655" s="381">
        <f t="shared" si="48"/>
        <v>0</v>
      </c>
      <c r="F1655" s="170">
        <f t="shared" si="48"/>
        <v>0</v>
      </c>
      <c r="G1655" s="170">
        <f t="shared" si="48"/>
        <v>0</v>
      </c>
      <c r="H1655" s="429"/>
      <c r="I1655" s="429"/>
      <c r="J1655" s="354"/>
    </row>
    <row r="1656" spans="1:10" s="153" customFormat="1" ht="12.75" customHeight="1" hidden="1">
      <c r="A1656" s="151"/>
      <c r="B1656" s="162">
        <v>2276</v>
      </c>
      <c r="C1656" s="163" t="s">
        <v>58</v>
      </c>
      <c r="D1656" s="381">
        <f t="shared" si="48"/>
        <v>0</v>
      </c>
      <c r="E1656" s="381">
        <f t="shared" si="48"/>
        <v>0</v>
      </c>
      <c r="F1656" s="170">
        <f t="shared" si="48"/>
        <v>0</v>
      </c>
      <c r="G1656" s="170">
        <f t="shared" si="48"/>
        <v>0</v>
      </c>
      <c r="H1656" s="429"/>
      <c r="I1656" s="429"/>
      <c r="J1656" s="354"/>
    </row>
    <row r="1657" spans="1:10" s="153" customFormat="1" ht="12.75" customHeight="1" hidden="1">
      <c r="A1657" s="151"/>
      <c r="B1657" s="157">
        <v>2280</v>
      </c>
      <c r="C1657" s="158" t="s">
        <v>59</v>
      </c>
      <c r="D1657" s="379">
        <f>D1658+D1659</f>
        <v>0</v>
      </c>
      <c r="E1657" s="379">
        <f>E1658+E1659</f>
        <v>0</v>
      </c>
      <c r="F1657" s="152">
        <f>F1658+F1659</f>
        <v>0</v>
      </c>
      <c r="G1657" s="152">
        <f>G1658+G1659</f>
        <v>0</v>
      </c>
      <c r="H1657" s="429"/>
      <c r="I1657" s="429"/>
      <c r="J1657" s="354"/>
    </row>
    <row r="1658" spans="1:10" s="153" customFormat="1" ht="12.75" customHeight="1" hidden="1">
      <c r="A1658" s="151"/>
      <c r="B1658" s="159">
        <v>2281</v>
      </c>
      <c r="C1658" s="160" t="s">
        <v>60</v>
      </c>
      <c r="D1658" s="381">
        <f aca="true" t="shared" si="49" ref="D1658:G1659">D1601+D1544+D1486+D1429+D1371</f>
        <v>0</v>
      </c>
      <c r="E1658" s="381">
        <f t="shared" si="49"/>
        <v>0</v>
      </c>
      <c r="F1658" s="170">
        <f t="shared" si="49"/>
        <v>0</v>
      </c>
      <c r="G1658" s="170">
        <f t="shared" si="49"/>
        <v>0</v>
      </c>
      <c r="H1658" s="429"/>
      <c r="I1658" s="429"/>
      <c r="J1658" s="354"/>
    </row>
    <row r="1659" spans="1:10" s="153" customFormat="1" ht="12.75" customHeight="1" hidden="1">
      <c r="A1659" s="151"/>
      <c r="B1659" s="159">
        <v>2282</v>
      </c>
      <c r="C1659" s="160" t="s">
        <v>61</v>
      </c>
      <c r="D1659" s="381">
        <f t="shared" si="49"/>
        <v>0</v>
      </c>
      <c r="E1659" s="381">
        <f t="shared" si="49"/>
        <v>0</v>
      </c>
      <c r="F1659" s="170">
        <f t="shared" si="49"/>
        <v>0</v>
      </c>
      <c r="G1659" s="170">
        <f t="shared" si="49"/>
        <v>0</v>
      </c>
      <c r="H1659" s="429"/>
      <c r="I1659" s="429"/>
      <c r="J1659" s="354"/>
    </row>
    <row r="1660" spans="1:10" s="153" customFormat="1" ht="12.75" customHeight="1" hidden="1">
      <c r="A1660" s="151"/>
      <c r="B1660" s="157">
        <v>2400</v>
      </c>
      <c r="C1660" s="158" t="s">
        <v>62</v>
      </c>
      <c r="D1660" s="381">
        <f>D1661+D1662</f>
        <v>0</v>
      </c>
      <c r="E1660" s="381">
        <f>E1661+E1662</f>
        <v>0</v>
      </c>
      <c r="F1660" s="170">
        <f>F1661+F1662</f>
        <v>0</v>
      </c>
      <c r="G1660" s="170">
        <f>G1661+G1662</f>
        <v>0</v>
      </c>
      <c r="H1660" s="429"/>
      <c r="I1660" s="429"/>
      <c r="J1660" s="354"/>
    </row>
    <row r="1661" spans="1:10" s="153" customFormat="1" ht="12.75" customHeight="1" hidden="1">
      <c r="A1661" s="151"/>
      <c r="B1661" s="159">
        <v>2410</v>
      </c>
      <c r="C1661" s="160" t="s">
        <v>63</v>
      </c>
      <c r="D1661" s="381">
        <f aca="true" t="shared" si="50" ref="D1661:G1662">D1604+D1547+D1489+D1432+D1374</f>
        <v>0</v>
      </c>
      <c r="E1661" s="381">
        <f t="shared" si="50"/>
        <v>0</v>
      </c>
      <c r="F1661" s="170">
        <f t="shared" si="50"/>
        <v>0</v>
      </c>
      <c r="G1661" s="170">
        <f t="shared" si="50"/>
        <v>0</v>
      </c>
      <c r="H1661" s="429"/>
      <c r="I1661" s="429"/>
      <c r="J1661" s="354"/>
    </row>
    <row r="1662" spans="1:10" s="153" customFormat="1" ht="12.75" customHeight="1" hidden="1">
      <c r="A1662" s="151"/>
      <c r="B1662" s="159">
        <v>2420</v>
      </c>
      <c r="C1662" s="160" t="s">
        <v>64</v>
      </c>
      <c r="D1662" s="381">
        <f t="shared" si="50"/>
        <v>0</v>
      </c>
      <c r="E1662" s="381">
        <f t="shared" si="50"/>
        <v>0</v>
      </c>
      <c r="F1662" s="170">
        <f t="shared" si="50"/>
        <v>0</v>
      </c>
      <c r="G1662" s="170">
        <f t="shared" si="50"/>
        <v>0</v>
      </c>
      <c r="H1662" s="429"/>
      <c r="I1662" s="429"/>
      <c r="J1662" s="354"/>
    </row>
    <row r="1663" spans="1:10" s="153" customFormat="1" ht="12.75" customHeight="1" hidden="1">
      <c r="A1663" s="151"/>
      <c r="B1663" s="157">
        <v>2600</v>
      </c>
      <c r="C1663" s="158" t="s">
        <v>65</v>
      </c>
      <c r="D1663" s="379">
        <f>D1664+D1665+D1666</f>
        <v>0</v>
      </c>
      <c r="E1663" s="379">
        <f>E1664+E1665+E1666</f>
        <v>0</v>
      </c>
      <c r="F1663" s="152">
        <f>F1664+F1665+F1666</f>
        <v>0</v>
      </c>
      <c r="G1663" s="152">
        <f>G1664+G1665+G1666</f>
        <v>0</v>
      </c>
      <c r="H1663" s="429"/>
      <c r="I1663" s="429"/>
      <c r="J1663" s="354"/>
    </row>
    <row r="1664" spans="1:10" s="153" customFormat="1" ht="12.75" customHeight="1" hidden="1">
      <c r="A1664" s="151"/>
      <c r="B1664" s="159">
        <v>2610</v>
      </c>
      <c r="C1664" s="160" t="s">
        <v>66</v>
      </c>
      <c r="D1664" s="381">
        <f aca="true" t="shared" si="51" ref="D1664:G1666">D1607+D1550+D1492+D1435+D1377</f>
        <v>0</v>
      </c>
      <c r="E1664" s="381">
        <f t="shared" si="51"/>
        <v>0</v>
      </c>
      <c r="F1664" s="170">
        <f t="shared" si="51"/>
        <v>0</v>
      </c>
      <c r="G1664" s="170">
        <f t="shared" si="51"/>
        <v>0</v>
      </c>
      <c r="H1664" s="429"/>
      <c r="I1664" s="429"/>
      <c r="J1664" s="354"/>
    </row>
    <row r="1665" spans="1:10" s="153" customFormat="1" ht="12.75" customHeight="1" hidden="1">
      <c r="A1665" s="151"/>
      <c r="B1665" s="159">
        <v>2620</v>
      </c>
      <c r="C1665" s="160" t="s">
        <v>67</v>
      </c>
      <c r="D1665" s="381">
        <f t="shared" si="51"/>
        <v>0</v>
      </c>
      <c r="E1665" s="381">
        <f t="shared" si="51"/>
        <v>0</v>
      </c>
      <c r="F1665" s="170">
        <f t="shared" si="51"/>
        <v>0</v>
      </c>
      <c r="G1665" s="170">
        <f t="shared" si="51"/>
        <v>0</v>
      </c>
      <c r="H1665" s="429"/>
      <c r="I1665" s="429"/>
      <c r="J1665" s="354"/>
    </row>
    <row r="1666" spans="1:10" s="153" customFormat="1" ht="12.75" customHeight="1" hidden="1">
      <c r="A1666" s="151"/>
      <c r="B1666" s="159">
        <v>2630</v>
      </c>
      <c r="C1666" s="160" t="s">
        <v>68</v>
      </c>
      <c r="D1666" s="381">
        <f t="shared" si="51"/>
        <v>0</v>
      </c>
      <c r="E1666" s="381">
        <f t="shared" si="51"/>
        <v>0</v>
      </c>
      <c r="F1666" s="170">
        <f t="shared" si="51"/>
        <v>0</v>
      </c>
      <c r="G1666" s="170">
        <f t="shared" si="51"/>
        <v>0</v>
      </c>
      <c r="H1666" s="429"/>
      <c r="I1666" s="429"/>
      <c r="J1666" s="354"/>
    </row>
    <row r="1667" spans="1:10" s="153" customFormat="1" ht="12.75" hidden="1">
      <c r="A1667" s="151"/>
      <c r="B1667" s="157">
        <v>2700</v>
      </c>
      <c r="C1667" s="158" t="s">
        <v>69</v>
      </c>
      <c r="D1667" s="379">
        <f>D1668+D1669+D1670</f>
        <v>0</v>
      </c>
      <c r="E1667" s="379">
        <f>E1668+E1669+E1670</f>
        <v>0</v>
      </c>
      <c r="F1667" s="152">
        <f>F1668+F1669+F1670</f>
        <v>0</v>
      </c>
      <c r="G1667" s="152">
        <f>G1668+G1669+G1670</f>
        <v>0</v>
      </c>
      <c r="H1667" s="429"/>
      <c r="I1667" s="429"/>
      <c r="J1667" s="354"/>
    </row>
    <row r="1668" spans="1:10" s="153" customFormat="1" ht="12.75" customHeight="1" hidden="1">
      <c r="A1668" s="151"/>
      <c r="B1668" s="159">
        <v>2710</v>
      </c>
      <c r="C1668" s="160" t="s">
        <v>70</v>
      </c>
      <c r="D1668" s="381">
        <f aca="true" t="shared" si="52" ref="D1668:G1669">D1611+D1554+D1496+D1439+D1381</f>
        <v>0</v>
      </c>
      <c r="E1668" s="381">
        <f t="shared" si="52"/>
        <v>0</v>
      </c>
      <c r="F1668" s="170">
        <f t="shared" si="52"/>
        <v>0</v>
      </c>
      <c r="G1668" s="170">
        <f t="shared" si="52"/>
        <v>0</v>
      </c>
      <c r="H1668" s="429"/>
      <c r="I1668" s="429"/>
      <c r="J1668" s="354"/>
    </row>
    <row r="1669" spans="1:10" s="153" customFormat="1" ht="12.75" customHeight="1" hidden="1">
      <c r="A1669" s="151"/>
      <c r="B1669" s="159">
        <v>2720</v>
      </c>
      <c r="C1669" s="160" t="s">
        <v>71</v>
      </c>
      <c r="D1669" s="381">
        <f t="shared" si="52"/>
        <v>0</v>
      </c>
      <c r="E1669" s="381">
        <f t="shared" si="52"/>
        <v>0</v>
      </c>
      <c r="F1669" s="170">
        <f t="shared" si="52"/>
        <v>0</v>
      </c>
      <c r="G1669" s="170">
        <f t="shared" si="52"/>
        <v>0</v>
      </c>
      <c r="H1669" s="429"/>
      <c r="I1669" s="429"/>
      <c r="J1669" s="354"/>
    </row>
    <row r="1670" spans="1:10" s="153" customFormat="1" ht="12.75" hidden="1">
      <c r="A1670" s="151"/>
      <c r="B1670" s="159">
        <v>2730</v>
      </c>
      <c r="C1670" s="160" t="s">
        <v>72</v>
      </c>
      <c r="D1670" s="381">
        <f aca="true" t="shared" si="53" ref="D1670:G1671">D1613+D1556+D1498+D1441+D1383</f>
        <v>0</v>
      </c>
      <c r="E1670" s="381">
        <f t="shared" si="53"/>
        <v>0</v>
      </c>
      <c r="F1670" s="170">
        <f t="shared" si="53"/>
        <v>0</v>
      </c>
      <c r="G1670" s="170">
        <f t="shared" si="53"/>
        <v>0</v>
      </c>
      <c r="H1670" s="429"/>
      <c r="I1670" s="429"/>
      <c r="J1670" s="354"/>
    </row>
    <row r="1671" spans="1:10" s="153" customFormat="1" ht="12.75" customHeight="1" hidden="1">
      <c r="A1671" s="151"/>
      <c r="B1671" s="157">
        <v>2800</v>
      </c>
      <c r="C1671" s="158" t="s">
        <v>73</v>
      </c>
      <c r="D1671" s="381">
        <f t="shared" si="53"/>
        <v>0</v>
      </c>
      <c r="E1671" s="381">
        <f t="shared" si="53"/>
        <v>0</v>
      </c>
      <c r="F1671" s="170">
        <f t="shared" si="53"/>
        <v>0</v>
      </c>
      <c r="G1671" s="170">
        <f t="shared" si="53"/>
        <v>0</v>
      </c>
      <c r="H1671" s="429"/>
      <c r="I1671" s="429"/>
      <c r="J1671" s="354"/>
    </row>
    <row r="1672" spans="1:10" s="153" customFormat="1" ht="13.5" customHeight="1">
      <c r="A1672" s="155"/>
      <c r="B1672" s="157">
        <v>3000</v>
      </c>
      <c r="C1672" s="158" t="s">
        <v>40</v>
      </c>
      <c r="D1672" s="382">
        <f>D1673+D1687</f>
        <v>7342.120000000001</v>
      </c>
      <c r="E1672" s="382">
        <f>E1673+E1687</f>
        <v>39142.17999999999</v>
      </c>
      <c r="F1672" s="122">
        <f>F1673+F1687</f>
        <v>0</v>
      </c>
      <c r="G1672" s="122">
        <f>G1673+G1687</f>
        <v>117911.43299999999</v>
      </c>
      <c r="H1672" s="429"/>
      <c r="I1672" s="429"/>
      <c r="J1672" s="354"/>
    </row>
    <row r="1673" spans="1:10" s="153" customFormat="1" ht="13.5" customHeight="1">
      <c r="A1673" s="155"/>
      <c r="B1673" s="157">
        <v>3100</v>
      </c>
      <c r="C1673" s="158" t="s">
        <v>41</v>
      </c>
      <c r="D1673" s="382">
        <f>D1674+D1675+D1678+D1681+D1685+D1686+D1687</f>
        <v>7342.120000000001</v>
      </c>
      <c r="E1673" s="382">
        <f>E1674+E1675+E1678+E1681+E1685+E1686+E1687</f>
        <v>39142.17999999999</v>
      </c>
      <c r="F1673" s="122">
        <f>F1674+F1675+F1678+F1681+F1685+F1686+F1687</f>
        <v>0</v>
      </c>
      <c r="G1673" s="122">
        <f>G1674+G1675+G1678+G1681+G1685+G1686+G1687</f>
        <v>117911.43299999999</v>
      </c>
      <c r="H1673" s="429"/>
      <c r="I1673" s="429"/>
      <c r="J1673" s="361"/>
    </row>
    <row r="1674" spans="1:10" s="153" customFormat="1" ht="13.5" customHeight="1" hidden="1">
      <c r="A1674" s="155"/>
      <c r="B1674" s="159">
        <v>3110</v>
      </c>
      <c r="C1674" s="160" t="s">
        <v>74</v>
      </c>
      <c r="D1674" s="381">
        <f>D1617+D1560+D1502+D1445+D1387</f>
        <v>0</v>
      </c>
      <c r="E1674" s="381">
        <f>E1617+E1560+E1502+E1445+E1387</f>
        <v>0</v>
      </c>
      <c r="F1674" s="170">
        <f>F1617+F1560+F1502+F1445+F1387</f>
        <v>0</v>
      </c>
      <c r="G1674" s="170">
        <f>G1617+G1560+G1502+G1445+G1387</f>
        <v>0</v>
      </c>
      <c r="H1674" s="429"/>
      <c r="I1674" s="429"/>
      <c r="J1674" s="354"/>
    </row>
    <row r="1675" spans="1:10" s="153" customFormat="1" ht="12.75" customHeight="1">
      <c r="A1675" s="155"/>
      <c r="B1675" s="159">
        <v>3120</v>
      </c>
      <c r="C1675" s="160" t="s">
        <v>75</v>
      </c>
      <c r="D1675" s="382">
        <f>D1676+D1677</f>
        <v>169.56</v>
      </c>
      <c r="E1675" s="382">
        <f>E1676+E1677</f>
        <v>10372.3</v>
      </c>
      <c r="F1675" s="122">
        <f>F1676+F1677</f>
        <v>0</v>
      </c>
      <c r="G1675" s="122">
        <f>G1676+G1677</f>
        <v>46220.386</v>
      </c>
      <c r="H1675" s="429"/>
      <c r="I1675" s="429"/>
      <c r="J1675" s="354"/>
    </row>
    <row r="1676" spans="1:10" s="153" customFormat="1" ht="12.75" customHeight="1" hidden="1">
      <c r="A1676" s="155"/>
      <c r="B1676" s="159">
        <v>3121</v>
      </c>
      <c r="C1676" s="160" t="s">
        <v>76</v>
      </c>
      <c r="D1676" s="381">
        <f aca="true" t="shared" si="54" ref="D1676:G1677">D1619+D1562+D1504+D1447+D1389</f>
        <v>0</v>
      </c>
      <c r="E1676" s="381">
        <f t="shared" si="54"/>
        <v>0</v>
      </c>
      <c r="F1676" s="170">
        <f t="shared" si="54"/>
        <v>0</v>
      </c>
      <c r="G1676" s="170">
        <f t="shared" si="54"/>
        <v>0</v>
      </c>
      <c r="H1676" s="429"/>
      <c r="I1676" s="429"/>
      <c r="J1676" s="354"/>
    </row>
    <row r="1677" spans="1:10" s="153" customFormat="1" ht="12.75" customHeight="1">
      <c r="A1677" s="155"/>
      <c r="B1677" s="159">
        <v>3122</v>
      </c>
      <c r="C1677" s="160" t="s">
        <v>77</v>
      </c>
      <c r="D1677" s="381">
        <f t="shared" si="54"/>
        <v>169.56</v>
      </c>
      <c r="E1677" s="381">
        <f t="shared" si="54"/>
        <v>10372.3</v>
      </c>
      <c r="F1677" s="170">
        <f t="shared" si="54"/>
        <v>0</v>
      </c>
      <c r="G1677" s="170">
        <f t="shared" si="54"/>
        <v>46220.386</v>
      </c>
      <c r="H1677" s="429"/>
      <c r="I1677" s="429"/>
      <c r="J1677" s="354"/>
    </row>
    <row r="1678" spans="1:10" s="153" customFormat="1" ht="12.75" customHeight="1" hidden="1">
      <c r="A1678" s="155"/>
      <c r="B1678" s="159">
        <v>3130</v>
      </c>
      <c r="C1678" s="160" t="s">
        <v>78</v>
      </c>
      <c r="D1678" s="382">
        <f>D1679+D1680</f>
        <v>0</v>
      </c>
      <c r="E1678" s="382">
        <f>E1679+E1680</f>
        <v>0</v>
      </c>
      <c r="F1678" s="122">
        <f>F1679+F1680</f>
        <v>0</v>
      </c>
      <c r="G1678" s="122">
        <f>G1679+G1680</f>
        <v>0</v>
      </c>
      <c r="H1678" s="429"/>
      <c r="I1678" s="429"/>
      <c r="J1678" s="354"/>
    </row>
    <row r="1679" spans="1:10" s="153" customFormat="1" ht="12.75" customHeight="1" hidden="1">
      <c r="A1679" s="155"/>
      <c r="B1679" s="159">
        <v>3131</v>
      </c>
      <c r="C1679" s="160" t="s">
        <v>79</v>
      </c>
      <c r="D1679" s="381">
        <f aca="true" t="shared" si="55" ref="D1679:G1680">D1622+D1565+D1507+D1450+D1392</f>
        <v>0</v>
      </c>
      <c r="E1679" s="381">
        <f t="shared" si="55"/>
        <v>0</v>
      </c>
      <c r="F1679" s="170">
        <f t="shared" si="55"/>
        <v>0</v>
      </c>
      <c r="G1679" s="170">
        <f t="shared" si="55"/>
        <v>0</v>
      </c>
      <c r="H1679" s="429"/>
      <c r="I1679" s="429"/>
      <c r="J1679" s="354"/>
    </row>
    <row r="1680" spans="1:10" s="153" customFormat="1" ht="12.75" customHeight="1" hidden="1">
      <c r="A1680" s="155"/>
      <c r="B1680" s="159">
        <v>3132</v>
      </c>
      <c r="C1680" s="160" t="s">
        <v>80</v>
      </c>
      <c r="D1680" s="381">
        <f t="shared" si="55"/>
        <v>0</v>
      </c>
      <c r="E1680" s="381">
        <f t="shared" si="55"/>
        <v>0</v>
      </c>
      <c r="F1680" s="170">
        <f t="shared" si="55"/>
        <v>0</v>
      </c>
      <c r="G1680" s="170">
        <f t="shared" si="55"/>
        <v>0</v>
      </c>
      <c r="H1680" s="429"/>
      <c r="I1680" s="429"/>
      <c r="J1680" s="354"/>
    </row>
    <row r="1681" spans="1:10" s="153" customFormat="1" ht="12.75" customHeight="1">
      <c r="A1681" s="155"/>
      <c r="B1681" s="159">
        <v>3140</v>
      </c>
      <c r="C1681" s="160" t="s">
        <v>81</v>
      </c>
      <c r="D1681" s="382">
        <f>D1682+D1683+D1684</f>
        <v>7172.56</v>
      </c>
      <c r="E1681" s="382">
        <f>E1682+E1683+E1684</f>
        <v>28769.879999999997</v>
      </c>
      <c r="F1681" s="122">
        <f>F1682+F1683+F1684</f>
        <v>0</v>
      </c>
      <c r="G1681" s="122">
        <f>G1682+G1683+G1684</f>
        <v>71691.04699999999</v>
      </c>
      <c r="H1681" s="429"/>
      <c r="I1681" s="429"/>
      <c r="J1681" s="354"/>
    </row>
    <row r="1682" spans="1:10" s="153" customFormat="1" ht="12.75" customHeight="1" hidden="1">
      <c r="A1682" s="155"/>
      <c r="B1682" s="159">
        <v>3141</v>
      </c>
      <c r="C1682" s="160" t="s">
        <v>82</v>
      </c>
      <c r="D1682" s="381">
        <f aca="true" t="shared" si="56" ref="D1682:G1684">D1625+D1568+D1510+D1453+D1395</f>
        <v>0</v>
      </c>
      <c r="E1682" s="381">
        <f t="shared" si="56"/>
        <v>0</v>
      </c>
      <c r="F1682" s="170">
        <f t="shared" si="56"/>
        <v>0</v>
      </c>
      <c r="G1682" s="170">
        <f t="shared" si="56"/>
        <v>0</v>
      </c>
      <c r="H1682" s="429"/>
      <c r="I1682" s="429"/>
      <c r="J1682" s="354"/>
    </row>
    <row r="1683" spans="1:10" s="153" customFormat="1" ht="12.75" customHeight="1">
      <c r="A1683" s="155"/>
      <c r="B1683" s="159">
        <v>3142</v>
      </c>
      <c r="C1683" s="160" t="s">
        <v>83</v>
      </c>
      <c r="D1683" s="381">
        <f t="shared" si="56"/>
        <v>7172.56</v>
      </c>
      <c r="E1683" s="381">
        <f t="shared" si="56"/>
        <v>28769.879999999997</v>
      </c>
      <c r="F1683" s="170">
        <f t="shared" si="56"/>
        <v>0</v>
      </c>
      <c r="G1683" s="170">
        <f t="shared" si="56"/>
        <v>71691.04699999999</v>
      </c>
      <c r="H1683" s="429"/>
      <c r="I1683" s="429"/>
      <c r="J1683" s="354"/>
    </row>
    <row r="1684" spans="1:10" s="153" customFormat="1" ht="12.75" customHeight="1" hidden="1">
      <c r="A1684" s="155"/>
      <c r="B1684" s="159">
        <v>3143</v>
      </c>
      <c r="C1684" s="160" t="s">
        <v>84</v>
      </c>
      <c r="D1684" s="381">
        <f t="shared" si="56"/>
        <v>0</v>
      </c>
      <c r="E1684" s="381">
        <f t="shared" si="56"/>
        <v>0</v>
      </c>
      <c r="F1684" s="170">
        <f t="shared" si="56"/>
        <v>0</v>
      </c>
      <c r="G1684" s="170">
        <f t="shared" si="56"/>
        <v>0</v>
      </c>
      <c r="H1684" s="429"/>
      <c r="I1684" s="429"/>
      <c r="J1684" s="354"/>
    </row>
    <row r="1685" spans="1:10" s="153" customFormat="1" ht="12.75" customHeight="1" hidden="1">
      <c r="A1685" s="155"/>
      <c r="B1685" s="159">
        <v>3150</v>
      </c>
      <c r="C1685" s="160" t="s">
        <v>85</v>
      </c>
      <c r="D1685" s="381">
        <f aca="true" t="shared" si="57" ref="D1685:G1686">D1628+D1571+D1513+D1456+D1398</f>
        <v>0</v>
      </c>
      <c r="E1685" s="381">
        <f t="shared" si="57"/>
        <v>0</v>
      </c>
      <c r="F1685" s="170">
        <f t="shared" si="57"/>
        <v>0</v>
      </c>
      <c r="G1685" s="170">
        <f t="shared" si="57"/>
        <v>0</v>
      </c>
      <c r="H1685" s="429"/>
      <c r="I1685" s="429"/>
      <c r="J1685" s="354"/>
    </row>
    <row r="1686" spans="1:10" s="153" customFormat="1" ht="12.75" customHeight="1" hidden="1">
      <c r="A1686" s="155"/>
      <c r="B1686" s="159">
        <v>3160</v>
      </c>
      <c r="C1686" s="160" t="s">
        <v>86</v>
      </c>
      <c r="D1686" s="381">
        <f t="shared" si="57"/>
        <v>0</v>
      </c>
      <c r="E1686" s="381">
        <f t="shared" si="57"/>
        <v>0</v>
      </c>
      <c r="F1686" s="170">
        <f t="shared" si="57"/>
        <v>0</v>
      </c>
      <c r="G1686" s="170">
        <f t="shared" si="57"/>
        <v>0</v>
      </c>
      <c r="H1686" s="429"/>
      <c r="I1686" s="429"/>
      <c r="J1686" s="354"/>
    </row>
    <row r="1687" spans="1:10" s="153" customFormat="1" ht="12.75" customHeight="1" hidden="1">
      <c r="A1687" s="155"/>
      <c r="B1687" s="157">
        <v>3200</v>
      </c>
      <c r="C1687" s="158" t="s">
        <v>87</v>
      </c>
      <c r="D1687" s="382">
        <f>D1688+D1689+D1690+D1691</f>
        <v>0</v>
      </c>
      <c r="E1687" s="382">
        <f>E1688+E1689+E1690+E1691</f>
        <v>0</v>
      </c>
      <c r="F1687" s="122">
        <f>F1688+F1689+F1690+F1691</f>
        <v>0</v>
      </c>
      <c r="G1687" s="122">
        <f>G1688+G1689+G1690+G1691</f>
        <v>0</v>
      </c>
      <c r="H1687" s="429"/>
      <c r="I1687" s="429"/>
      <c r="J1687" s="354"/>
    </row>
    <row r="1688" spans="1:10" s="153" customFormat="1" ht="12.75" customHeight="1" hidden="1">
      <c r="A1688" s="155"/>
      <c r="B1688" s="159">
        <v>3210</v>
      </c>
      <c r="C1688" s="160" t="s">
        <v>88</v>
      </c>
      <c r="D1688" s="381">
        <f aca="true" t="shared" si="58" ref="D1688:G1689">D1631+D1574+D1516+D1459+D1401</f>
        <v>0</v>
      </c>
      <c r="E1688" s="381">
        <f t="shared" si="58"/>
        <v>0</v>
      </c>
      <c r="F1688" s="170">
        <f t="shared" si="58"/>
        <v>0</v>
      </c>
      <c r="G1688" s="170">
        <f t="shared" si="58"/>
        <v>0</v>
      </c>
      <c r="H1688" s="429"/>
      <c r="I1688" s="429"/>
      <c r="J1688" s="354"/>
    </row>
    <row r="1689" spans="1:10" s="153" customFormat="1" ht="12.75" customHeight="1" hidden="1">
      <c r="A1689" s="155"/>
      <c r="B1689" s="159">
        <v>3220</v>
      </c>
      <c r="C1689" s="160" t="s">
        <v>89</v>
      </c>
      <c r="D1689" s="381">
        <f t="shared" si="58"/>
        <v>0</v>
      </c>
      <c r="E1689" s="381">
        <f t="shared" si="58"/>
        <v>0</v>
      </c>
      <c r="F1689" s="170">
        <f t="shared" si="58"/>
        <v>0</v>
      </c>
      <c r="G1689" s="170">
        <f t="shared" si="58"/>
        <v>0</v>
      </c>
      <c r="H1689" s="429"/>
      <c r="I1689" s="429"/>
      <c r="J1689" s="354"/>
    </row>
    <row r="1690" spans="1:10" s="153" customFormat="1" ht="12.75" customHeight="1" hidden="1">
      <c r="A1690" s="155"/>
      <c r="B1690" s="159">
        <v>3230</v>
      </c>
      <c r="C1690" s="160" t="s">
        <v>90</v>
      </c>
      <c r="D1690" s="381">
        <f aca="true" t="shared" si="59" ref="D1690:G1691">D1633+D1576+D1518+D1461+D1403</f>
        <v>0</v>
      </c>
      <c r="E1690" s="381">
        <f t="shared" si="59"/>
        <v>0</v>
      </c>
      <c r="F1690" s="170">
        <f t="shared" si="59"/>
        <v>0</v>
      </c>
      <c r="G1690" s="170">
        <f t="shared" si="59"/>
        <v>0</v>
      </c>
      <c r="H1690" s="429"/>
      <c r="I1690" s="429"/>
      <c r="J1690" s="354"/>
    </row>
    <row r="1691" spans="1:10" s="153" customFormat="1" ht="12.75" customHeight="1" hidden="1">
      <c r="A1691" s="155"/>
      <c r="B1691" s="159">
        <v>3240</v>
      </c>
      <c r="C1691" s="160" t="s">
        <v>91</v>
      </c>
      <c r="D1691" s="381">
        <f t="shared" si="59"/>
        <v>0</v>
      </c>
      <c r="E1691" s="381">
        <f t="shared" si="59"/>
        <v>0</v>
      </c>
      <c r="F1691" s="170">
        <f t="shared" si="59"/>
        <v>0</v>
      </c>
      <c r="G1691" s="170">
        <f t="shared" si="59"/>
        <v>0</v>
      </c>
      <c r="H1691" s="429"/>
      <c r="I1691" s="429"/>
      <c r="J1691" s="354"/>
    </row>
    <row r="1692" spans="1:10" s="165" customFormat="1" ht="13.5" customHeight="1">
      <c r="A1692" s="169"/>
      <c r="B1692" s="329"/>
      <c r="C1692" s="174" t="s">
        <v>3</v>
      </c>
      <c r="D1692" s="383">
        <f>D1637+D1672</f>
        <v>7342.120000000001</v>
      </c>
      <c r="E1692" s="383">
        <f>E1637+E1672</f>
        <v>39142.17999999999</v>
      </c>
      <c r="F1692" s="43">
        <f>F1637+F1672</f>
        <v>0</v>
      </c>
      <c r="G1692" s="43">
        <f>G1637+G1672</f>
        <v>117911.43299999999</v>
      </c>
      <c r="H1692" s="430"/>
      <c r="I1692" s="430"/>
      <c r="J1692" s="350"/>
    </row>
    <row r="1693" spans="1:9" ht="12.75">
      <c r="A1693" s="4"/>
      <c r="B1693" s="437" t="s">
        <v>613</v>
      </c>
      <c r="C1693" s="437"/>
      <c r="D1693" s="437"/>
      <c r="E1693" s="437"/>
      <c r="F1693" s="437"/>
      <c r="G1693" s="437"/>
      <c r="H1693" s="437"/>
      <c r="I1693" s="437"/>
    </row>
    <row r="1694" spans="1:9" ht="42" customHeight="1">
      <c r="A1694" s="4"/>
      <c r="B1694" s="342">
        <v>1</v>
      </c>
      <c r="C1694" s="344" t="s">
        <v>197</v>
      </c>
      <c r="D1694" s="345">
        <f>'2019-2 (п.11)'!E39</f>
        <v>14938.5</v>
      </c>
      <c r="E1694" s="345">
        <f>'2019-2 (п.11)'!J39</f>
        <v>20698</v>
      </c>
      <c r="F1694" s="343"/>
      <c r="G1694" s="345">
        <f>'2019-2 (п.11)'!K39</f>
        <v>15000</v>
      </c>
      <c r="H1694" s="435" t="s">
        <v>612</v>
      </c>
      <c r="I1694" s="436"/>
    </row>
    <row r="1695" spans="1:9" ht="54" customHeight="1">
      <c r="A1695" s="4"/>
      <c r="B1695" s="342">
        <v>2</v>
      </c>
      <c r="C1695" s="344" t="s">
        <v>609</v>
      </c>
      <c r="D1695" s="345"/>
      <c r="E1695" s="345">
        <f>'2019-2 (п.11)'!J26</f>
        <v>6972.3</v>
      </c>
      <c r="F1695" s="343"/>
      <c r="G1695" s="345">
        <f>'2019-2 (п.11)'!M26</f>
        <v>2000</v>
      </c>
      <c r="H1695" s="435" t="s">
        <v>615</v>
      </c>
      <c r="I1695" s="436"/>
    </row>
    <row r="1696" spans="1:9" ht="72" customHeight="1">
      <c r="A1696" s="4"/>
      <c r="B1696" s="342">
        <v>3</v>
      </c>
      <c r="C1696" s="344" t="s">
        <v>190</v>
      </c>
      <c r="D1696" s="345">
        <f>'2019-2 (п.11)'!E32</f>
        <v>603.16</v>
      </c>
      <c r="E1696" s="345">
        <f>'2019-2 (п.11)'!H32</f>
        <v>7500</v>
      </c>
      <c r="F1696" s="343"/>
      <c r="G1696" s="345">
        <f>'2019-2 (п.11)'!K32</f>
        <v>7000</v>
      </c>
      <c r="H1696" s="435" t="s">
        <v>610</v>
      </c>
      <c r="I1696" s="436"/>
    </row>
    <row r="1697" spans="1:9" ht="27" customHeight="1">
      <c r="A1697" s="4"/>
      <c r="B1697" s="342">
        <v>4</v>
      </c>
      <c r="C1697" s="344" t="s">
        <v>200</v>
      </c>
      <c r="D1697" s="345">
        <f>'2019-2 (п.11)'!G42</f>
        <v>0</v>
      </c>
      <c r="E1697" s="345">
        <f>'2019-2 (п.11)'!H42</f>
        <v>3400</v>
      </c>
      <c r="F1697" s="343"/>
      <c r="G1697" s="345">
        <f>'2019-2 (п.11)'!K42</f>
        <v>500</v>
      </c>
      <c r="H1697" s="435" t="s">
        <v>611</v>
      </c>
      <c r="I1697" s="436"/>
    </row>
    <row r="1698" spans="1:10" s="165" customFormat="1" ht="14.25" customHeight="1">
      <c r="A1698" s="346"/>
      <c r="B1698" s="347"/>
      <c r="C1698" s="174" t="s">
        <v>3</v>
      </c>
      <c r="D1698" s="348">
        <f>D1697+D1696+D1694+D1695</f>
        <v>15541.66</v>
      </c>
      <c r="E1698" s="348">
        <f>E1697+E1696+E1694+E1695</f>
        <v>38570.3</v>
      </c>
      <c r="F1698" s="348">
        <f>F1697+F1696+F1694+F1695</f>
        <v>0</v>
      </c>
      <c r="G1698" s="348">
        <f>G1697+G1696+G1694+G1695</f>
        <v>24500</v>
      </c>
      <c r="H1698" s="438"/>
      <c r="I1698" s="439"/>
      <c r="J1698" s="350"/>
    </row>
    <row r="1699" spans="1:9" ht="12.75">
      <c r="A1699" s="4"/>
      <c r="B1699" s="341"/>
      <c r="C1699" s="341"/>
      <c r="D1699" s="387"/>
      <c r="E1699" s="387"/>
      <c r="F1699" s="341"/>
      <c r="G1699" s="341"/>
      <c r="H1699" s="341"/>
      <c r="I1699" s="341"/>
    </row>
    <row r="1700" spans="1:9" ht="18.75" customHeight="1">
      <c r="A1700" s="393" t="s">
        <v>159</v>
      </c>
      <c r="B1700" s="393"/>
      <c r="C1700" s="393"/>
      <c r="E1700" s="392" t="s">
        <v>8</v>
      </c>
      <c r="F1700" s="392"/>
      <c r="H1700" s="392" t="s">
        <v>108</v>
      </c>
      <c r="I1700" s="392"/>
    </row>
    <row r="1701" spans="1:9" ht="15">
      <c r="A1701" s="5"/>
      <c r="B1701" s="5"/>
      <c r="E1701" s="431" t="s">
        <v>5</v>
      </c>
      <c r="F1701" s="431"/>
      <c r="H1701" s="431" t="s">
        <v>6</v>
      </c>
      <c r="I1701" s="431"/>
    </row>
    <row r="1702" spans="1:8" ht="12.75" customHeight="1">
      <c r="A1702" s="10"/>
      <c r="B1702" s="10"/>
      <c r="E1702" s="389"/>
      <c r="H1702" s="9"/>
    </row>
    <row r="1703" spans="1:9" ht="18.75" customHeight="1">
      <c r="A1703" s="393" t="s">
        <v>107</v>
      </c>
      <c r="B1703" s="393"/>
      <c r="C1703" s="393"/>
      <c r="E1703" s="392" t="s">
        <v>8</v>
      </c>
      <c r="F1703" s="392"/>
      <c r="H1703" s="392" t="s">
        <v>109</v>
      </c>
      <c r="I1703" s="392"/>
    </row>
    <row r="1704" spans="1:9" ht="15">
      <c r="A1704" s="5"/>
      <c r="E1704" s="431" t="s">
        <v>5</v>
      </c>
      <c r="F1704" s="431"/>
      <c r="H1704" s="431" t="s">
        <v>6</v>
      </c>
      <c r="I1704" s="431"/>
    </row>
    <row r="1705" ht="12.75">
      <c r="A1705" s="4"/>
    </row>
    <row r="1706" ht="12.75">
      <c r="A1706" s="4"/>
    </row>
  </sheetData>
  <sheetProtection/>
  <mergeCells count="1428">
    <mergeCell ref="H1695:I1695"/>
    <mergeCell ref="B1693:I1693"/>
    <mergeCell ref="H1694:I1694"/>
    <mergeCell ref="H1696:I1696"/>
    <mergeCell ref="H1697:I1697"/>
    <mergeCell ref="H1698:I1698"/>
    <mergeCell ref="H701:I701"/>
    <mergeCell ref="H758:I758"/>
    <mergeCell ref="H1437:I1437"/>
    <mergeCell ref="H1438:I1438"/>
    <mergeCell ref="H1439:I1439"/>
    <mergeCell ref="H696:I696"/>
    <mergeCell ref="H697:I697"/>
    <mergeCell ref="H698:I698"/>
    <mergeCell ref="H699:I699"/>
    <mergeCell ref="H700:I700"/>
    <mergeCell ref="H691:I691"/>
    <mergeCell ref="H692:I692"/>
    <mergeCell ref="H693:I693"/>
    <mergeCell ref="H694:I694"/>
    <mergeCell ref="H695:I695"/>
    <mergeCell ref="H686:I686"/>
    <mergeCell ref="H687:I687"/>
    <mergeCell ref="H688:I688"/>
    <mergeCell ref="H689:I689"/>
    <mergeCell ref="H690:I690"/>
    <mergeCell ref="H668:I668"/>
    <mergeCell ref="H679:I679"/>
    <mergeCell ref="H680:I680"/>
    <mergeCell ref="H684:I684"/>
    <mergeCell ref="H685:I685"/>
    <mergeCell ref="H675:I675"/>
    <mergeCell ref="H676:I676"/>
    <mergeCell ref="H677:I677"/>
    <mergeCell ref="H678:I678"/>
    <mergeCell ref="H674:I674"/>
    <mergeCell ref="H657:I657"/>
    <mergeCell ref="H669:I669"/>
    <mergeCell ref="H670:I670"/>
    <mergeCell ref="H671:I671"/>
    <mergeCell ref="H672:I672"/>
    <mergeCell ref="H665:I665"/>
    <mergeCell ref="H666:I666"/>
    <mergeCell ref="H667:I667"/>
    <mergeCell ref="H662:I662"/>
    <mergeCell ref="H663:I663"/>
    <mergeCell ref="H645:I645"/>
    <mergeCell ref="H646:I646"/>
    <mergeCell ref="H652:I652"/>
    <mergeCell ref="H653:I653"/>
    <mergeCell ref="H654:I654"/>
    <mergeCell ref="H655:I655"/>
    <mergeCell ref="H650:I650"/>
    <mergeCell ref="H651:I651"/>
    <mergeCell ref="H648:I648"/>
    <mergeCell ref="H649:I649"/>
    <mergeCell ref="H656:I656"/>
    <mergeCell ref="H753:I753"/>
    <mergeCell ref="H754:I754"/>
    <mergeCell ref="H755:I755"/>
    <mergeCell ref="H756:I756"/>
    <mergeCell ref="H757:I757"/>
    <mergeCell ref="H702:I702"/>
    <mergeCell ref="H703:I703"/>
    <mergeCell ref="H705:I705"/>
    <mergeCell ref="H706:I706"/>
    <mergeCell ref="H707:I707"/>
    <mergeCell ref="H296:I296"/>
    <mergeCell ref="H297:I297"/>
    <mergeCell ref="H298:I298"/>
    <mergeCell ref="H299:I299"/>
    <mergeCell ref="H300:I300"/>
    <mergeCell ref="H355:I355"/>
    <mergeCell ref="H356:I356"/>
    <mergeCell ref="H357:I357"/>
    <mergeCell ref="H352:I352"/>
    <mergeCell ref="H294:I294"/>
    <mergeCell ref="H295:I295"/>
    <mergeCell ref="H286:I286"/>
    <mergeCell ref="H287:I287"/>
    <mergeCell ref="H288:I288"/>
    <mergeCell ref="H289:I289"/>
    <mergeCell ref="H290:I290"/>
    <mergeCell ref="H274:I274"/>
    <mergeCell ref="H275:I275"/>
    <mergeCell ref="H276:I276"/>
    <mergeCell ref="H277:I277"/>
    <mergeCell ref="H278:I278"/>
    <mergeCell ref="H281:I281"/>
    <mergeCell ref="H129:I129"/>
    <mergeCell ref="H245:I245"/>
    <mergeCell ref="H177:I177"/>
    <mergeCell ref="H178:I178"/>
    <mergeCell ref="H179:I179"/>
    <mergeCell ref="H180:I180"/>
    <mergeCell ref="H181:I181"/>
    <mergeCell ref="H164:I164"/>
    <mergeCell ref="H168:I168"/>
    <mergeCell ref="H169:I169"/>
    <mergeCell ref="H163:I163"/>
    <mergeCell ref="H170:I170"/>
    <mergeCell ref="H182:I182"/>
    <mergeCell ref="H171:I171"/>
    <mergeCell ref="H172:I172"/>
    <mergeCell ref="H173:I173"/>
    <mergeCell ref="H174:I174"/>
    <mergeCell ref="H175:I175"/>
    <mergeCell ref="H176:I176"/>
    <mergeCell ref="H166:I166"/>
    <mergeCell ref="H157:I157"/>
    <mergeCell ref="H158:I158"/>
    <mergeCell ref="H159:I159"/>
    <mergeCell ref="H160:I160"/>
    <mergeCell ref="H161:I161"/>
    <mergeCell ref="H162:I162"/>
    <mergeCell ref="H151:I151"/>
    <mergeCell ref="H152:I152"/>
    <mergeCell ref="H153:I153"/>
    <mergeCell ref="H154:I154"/>
    <mergeCell ref="H155:I155"/>
    <mergeCell ref="H156:I156"/>
    <mergeCell ref="H140:I140"/>
    <mergeCell ref="H141:I141"/>
    <mergeCell ref="H147:I147"/>
    <mergeCell ref="H148:I148"/>
    <mergeCell ref="H149:I149"/>
    <mergeCell ref="H150:I150"/>
    <mergeCell ref="H145:I145"/>
    <mergeCell ref="H240:I240"/>
    <mergeCell ref="H241:I241"/>
    <mergeCell ref="H242:I242"/>
    <mergeCell ref="H243:I243"/>
    <mergeCell ref="H128:I128"/>
    <mergeCell ref="H130:I130"/>
    <mergeCell ref="H136:I136"/>
    <mergeCell ref="H137:I137"/>
    <mergeCell ref="H138:I138"/>
    <mergeCell ref="H139:I139"/>
    <mergeCell ref="H234:I234"/>
    <mergeCell ref="H235:I235"/>
    <mergeCell ref="H236:I236"/>
    <mergeCell ref="H237:I237"/>
    <mergeCell ref="H238:I238"/>
    <mergeCell ref="H239:I239"/>
    <mergeCell ref="H228:I228"/>
    <mergeCell ref="H229:I229"/>
    <mergeCell ref="H230:I230"/>
    <mergeCell ref="H231:I231"/>
    <mergeCell ref="H232:I232"/>
    <mergeCell ref="H233:I233"/>
    <mergeCell ref="H219:I219"/>
    <mergeCell ref="H220:I220"/>
    <mergeCell ref="H221:I221"/>
    <mergeCell ref="H222:I222"/>
    <mergeCell ref="H226:I226"/>
    <mergeCell ref="H227:I227"/>
    <mergeCell ref="H213:I213"/>
    <mergeCell ref="H214:I214"/>
    <mergeCell ref="H215:I215"/>
    <mergeCell ref="H216:I216"/>
    <mergeCell ref="H217:I217"/>
    <mergeCell ref="H218:I218"/>
    <mergeCell ref="H207:I207"/>
    <mergeCell ref="H208:I208"/>
    <mergeCell ref="H209:I209"/>
    <mergeCell ref="H210:I210"/>
    <mergeCell ref="H211:I211"/>
    <mergeCell ref="H212:I212"/>
    <mergeCell ref="H205:I205"/>
    <mergeCell ref="H206:I206"/>
    <mergeCell ref="H199:I199"/>
    <mergeCell ref="H200:I200"/>
    <mergeCell ref="H201:I201"/>
    <mergeCell ref="H202:I202"/>
    <mergeCell ref="H195:I195"/>
    <mergeCell ref="H196:I196"/>
    <mergeCell ref="H197:I197"/>
    <mergeCell ref="H198:I198"/>
    <mergeCell ref="H203:I203"/>
    <mergeCell ref="H204:I204"/>
    <mergeCell ref="H254:I254"/>
    <mergeCell ref="H255:I255"/>
    <mergeCell ref="H358:I358"/>
    <mergeCell ref="H279:I279"/>
    <mergeCell ref="H283:I283"/>
    <mergeCell ref="H284:I284"/>
    <mergeCell ref="H285:I285"/>
    <mergeCell ref="H349:I349"/>
    <mergeCell ref="H350:I350"/>
    <mergeCell ref="H351:I351"/>
    <mergeCell ref="H353:I353"/>
    <mergeCell ref="H354:I354"/>
    <mergeCell ref="H343:I343"/>
    <mergeCell ref="H344:I344"/>
    <mergeCell ref="H345:I345"/>
    <mergeCell ref="H346:I346"/>
    <mergeCell ref="H347:I347"/>
    <mergeCell ref="H348:I348"/>
    <mergeCell ref="H334:I334"/>
    <mergeCell ref="H335:I335"/>
    <mergeCell ref="H336:I336"/>
    <mergeCell ref="H337:I337"/>
    <mergeCell ref="H341:I341"/>
    <mergeCell ref="H342:I342"/>
    <mergeCell ref="H328:I328"/>
    <mergeCell ref="H329:I329"/>
    <mergeCell ref="H330:I330"/>
    <mergeCell ref="H331:I331"/>
    <mergeCell ref="H332:I332"/>
    <mergeCell ref="H333:I333"/>
    <mergeCell ref="H318:I318"/>
    <mergeCell ref="H319:I319"/>
    <mergeCell ref="H320:I320"/>
    <mergeCell ref="H325:I325"/>
    <mergeCell ref="H326:I326"/>
    <mergeCell ref="H327:I327"/>
    <mergeCell ref="H409:I409"/>
    <mergeCell ref="H401:I401"/>
    <mergeCell ref="H402:I402"/>
    <mergeCell ref="H403:I403"/>
    <mergeCell ref="H404:I404"/>
    <mergeCell ref="H313:I313"/>
    <mergeCell ref="H314:I314"/>
    <mergeCell ref="H315:I315"/>
    <mergeCell ref="H316:I316"/>
    <mergeCell ref="H317:I317"/>
    <mergeCell ref="H399:I399"/>
    <mergeCell ref="H400:I400"/>
    <mergeCell ref="H390:I393"/>
    <mergeCell ref="H406:I406"/>
    <mergeCell ref="H407:I407"/>
    <mergeCell ref="H408:I408"/>
    <mergeCell ref="H405:I405"/>
    <mergeCell ref="H386:I386"/>
    <mergeCell ref="H387:I387"/>
    <mergeCell ref="H388:I388"/>
    <mergeCell ref="H389:I389"/>
    <mergeCell ref="H394:I394"/>
    <mergeCell ref="H398:I398"/>
    <mergeCell ref="H380:I380"/>
    <mergeCell ref="H381:I381"/>
    <mergeCell ref="H382:I382"/>
    <mergeCell ref="H383:I383"/>
    <mergeCell ref="H384:I384"/>
    <mergeCell ref="H385:I385"/>
    <mergeCell ref="H371:I371"/>
    <mergeCell ref="H376:I376"/>
    <mergeCell ref="H377:I377"/>
    <mergeCell ref="H378:I378"/>
    <mergeCell ref="H379:I379"/>
    <mergeCell ref="H372:I372"/>
    <mergeCell ref="H373:I373"/>
    <mergeCell ref="H374:I374"/>
    <mergeCell ref="H375:I375"/>
    <mergeCell ref="H529:I529"/>
    <mergeCell ref="H530:I530"/>
    <mergeCell ref="H416:I416"/>
    <mergeCell ref="H359:I359"/>
    <mergeCell ref="H360:I360"/>
    <mergeCell ref="H366:I366"/>
    <mergeCell ref="H367:I367"/>
    <mergeCell ref="H368:I368"/>
    <mergeCell ref="H369:I369"/>
    <mergeCell ref="H370:I370"/>
    <mergeCell ref="H523:I523"/>
    <mergeCell ref="H524:I524"/>
    <mergeCell ref="H525:I525"/>
    <mergeCell ref="H526:I526"/>
    <mergeCell ref="H527:I527"/>
    <mergeCell ref="H528:I528"/>
    <mergeCell ref="H517:I517"/>
    <mergeCell ref="H518:I518"/>
    <mergeCell ref="H519:I519"/>
    <mergeCell ref="H520:I520"/>
    <mergeCell ref="H521:I521"/>
    <mergeCell ref="H522:I522"/>
    <mergeCell ref="H508:I508"/>
    <mergeCell ref="H509:I509"/>
    <mergeCell ref="H513:I513"/>
    <mergeCell ref="H514:I514"/>
    <mergeCell ref="H515:I515"/>
    <mergeCell ref="H516:I516"/>
    <mergeCell ref="H502:I502"/>
    <mergeCell ref="H503:I503"/>
    <mergeCell ref="H504:I504"/>
    <mergeCell ref="H505:I505"/>
    <mergeCell ref="H506:I506"/>
    <mergeCell ref="H507:I507"/>
    <mergeCell ref="H496:I496"/>
    <mergeCell ref="H497:I497"/>
    <mergeCell ref="H498:I498"/>
    <mergeCell ref="H499:I499"/>
    <mergeCell ref="H500:I500"/>
    <mergeCell ref="H501:I501"/>
    <mergeCell ref="H587:I587"/>
    <mergeCell ref="H473:I473"/>
    <mergeCell ref="H475:I475"/>
    <mergeCell ref="H481:I481"/>
    <mergeCell ref="H482:I482"/>
    <mergeCell ref="H483:I483"/>
    <mergeCell ref="H486:I486"/>
    <mergeCell ref="H487:I487"/>
    <mergeCell ref="H494:I494"/>
    <mergeCell ref="H495:I495"/>
    <mergeCell ref="H581:I581"/>
    <mergeCell ref="H582:I582"/>
    <mergeCell ref="H583:I583"/>
    <mergeCell ref="H584:I584"/>
    <mergeCell ref="H570:I570"/>
    <mergeCell ref="H571:I571"/>
    <mergeCell ref="H572:I572"/>
    <mergeCell ref="H575:I575"/>
    <mergeCell ref="H576:I576"/>
    <mergeCell ref="H577:I577"/>
    <mergeCell ref="H579:I579"/>
    <mergeCell ref="H580:I580"/>
    <mergeCell ref="H560:I560"/>
    <mergeCell ref="H573:I573"/>
    <mergeCell ref="H574:I574"/>
    <mergeCell ref="H561:I561"/>
    <mergeCell ref="H562:I562"/>
    <mergeCell ref="H563:I563"/>
    <mergeCell ref="H564:I564"/>
    <mergeCell ref="H537:I537"/>
    <mergeCell ref="H543:I543"/>
    <mergeCell ref="H548:I548"/>
    <mergeCell ref="H546:I546"/>
    <mergeCell ref="H547:I547"/>
    <mergeCell ref="H569:I569"/>
    <mergeCell ref="H566:I566"/>
    <mergeCell ref="H635:I635"/>
    <mergeCell ref="H643:I643"/>
    <mergeCell ref="H637:I637"/>
    <mergeCell ref="H532:I532"/>
    <mergeCell ref="H538:I538"/>
    <mergeCell ref="H539:I539"/>
    <mergeCell ref="H540:I540"/>
    <mergeCell ref="H541:I541"/>
    <mergeCell ref="H542:I542"/>
    <mergeCell ref="H536:I536"/>
    <mergeCell ref="H625:I625"/>
    <mergeCell ref="H626:I626"/>
    <mergeCell ref="H631:I631"/>
    <mergeCell ref="H632:I632"/>
    <mergeCell ref="H633:I633"/>
    <mergeCell ref="H634:I634"/>
    <mergeCell ref="H620:I620"/>
    <mergeCell ref="H621:I621"/>
    <mergeCell ref="H622:I622"/>
    <mergeCell ref="H636:I636"/>
    <mergeCell ref="H623:I623"/>
    <mergeCell ref="H627:I627"/>
    <mergeCell ref="H628:I628"/>
    <mergeCell ref="H629:I629"/>
    <mergeCell ref="H630:I630"/>
    <mergeCell ref="H624:I624"/>
    <mergeCell ref="H614:I614"/>
    <mergeCell ref="H615:I615"/>
    <mergeCell ref="H616:I616"/>
    <mergeCell ref="H617:I617"/>
    <mergeCell ref="H618:I618"/>
    <mergeCell ref="H619:I619"/>
    <mergeCell ref="H610:I610"/>
    <mergeCell ref="H611:I611"/>
    <mergeCell ref="H612:I612"/>
    <mergeCell ref="H608:I608"/>
    <mergeCell ref="H609:I609"/>
    <mergeCell ref="H613:I613"/>
    <mergeCell ref="H595:I595"/>
    <mergeCell ref="H596:I596"/>
    <mergeCell ref="H597:I597"/>
    <mergeCell ref="H605:I605"/>
    <mergeCell ref="H606:I606"/>
    <mergeCell ref="H607:I607"/>
    <mergeCell ref="H602:I602"/>
    <mergeCell ref="H603:I603"/>
    <mergeCell ref="H604:I604"/>
    <mergeCell ref="E1704:F1704"/>
    <mergeCell ref="H1704:I1704"/>
    <mergeCell ref="A1:I1"/>
    <mergeCell ref="A3:I3"/>
    <mergeCell ref="A4:I4"/>
    <mergeCell ref="B5:J5"/>
    <mergeCell ref="B6:J6"/>
    <mergeCell ref="B9:I9"/>
    <mergeCell ref="H256:I256"/>
    <mergeCell ref="H709:I709"/>
    <mergeCell ref="H257:I257"/>
    <mergeCell ref="H258:I258"/>
    <mergeCell ref="H259:I259"/>
    <mergeCell ref="H260:I260"/>
    <mergeCell ref="H261:I261"/>
    <mergeCell ref="H716:I716"/>
    <mergeCell ref="H266:I266"/>
    <mergeCell ref="H267:I267"/>
    <mergeCell ref="H712:I712"/>
    <mergeCell ref="H713:I713"/>
    <mergeCell ref="A1703:C1703"/>
    <mergeCell ref="E1703:F1703"/>
    <mergeCell ref="H1703:I1703"/>
    <mergeCell ref="A1700:C1700"/>
    <mergeCell ref="E1700:F1700"/>
    <mergeCell ref="H1700:I1700"/>
    <mergeCell ref="E1701:F1701"/>
    <mergeCell ref="H1701:I1701"/>
    <mergeCell ref="H1440:I1440"/>
    <mergeCell ref="H1441:I1441"/>
    <mergeCell ref="H1442:I1442"/>
    <mergeCell ref="H1431:I1431"/>
    <mergeCell ref="H1432:I1432"/>
    <mergeCell ref="H1433:I1433"/>
    <mergeCell ref="H1434:I1434"/>
    <mergeCell ref="H1435:I1435"/>
    <mergeCell ref="H1436:I1436"/>
    <mergeCell ref="H1425:I1425"/>
    <mergeCell ref="H1426:I1426"/>
    <mergeCell ref="H1427:I1427"/>
    <mergeCell ref="H1428:I1428"/>
    <mergeCell ref="H1429:I1429"/>
    <mergeCell ref="H1430:I1430"/>
    <mergeCell ref="H1419:I1419"/>
    <mergeCell ref="H1420:I1420"/>
    <mergeCell ref="H1421:I1421"/>
    <mergeCell ref="H1422:I1422"/>
    <mergeCell ref="H1423:I1423"/>
    <mergeCell ref="H1424:I1424"/>
    <mergeCell ref="H1413:I1413"/>
    <mergeCell ref="H1414:I1414"/>
    <mergeCell ref="H1415:I1415"/>
    <mergeCell ref="H1416:I1416"/>
    <mergeCell ref="H1417:I1417"/>
    <mergeCell ref="H1418:I1418"/>
    <mergeCell ref="H1518:I1518"/>
    <mergeCell ref="H1519:I1519"/>
    <mergeCell ref="H1520:I1520"/>
    <mergeCell ref="H1406:I1406"/>
    <mergeCell ref="H1407:I1407"/>
    <mergeCell ref="H1408:I1408"/>
    <mergeCell ref="H1409:I1409"/>
    <mergeCell ref="H1410:I1410"/>
    <mergeCell ref="H1411:I1411"/>
    <mergeCell ref="H1412:I1412"/>
    <mergeCell ref="H1512:I1512"/>
    <mergeCell ref="H1513:I1513"/>
    <mergeCell ref="H1514:I1514"/>
    <mergeCell ref="H1515:I1515"/>
    <mergeCell ref="H1516:I1516"/>
    <mergeCell ref="H1517:I1517"/>
    <mergeCell ref="H1494:I1494"/>
    <mergeCell ref="H1495:I1495"/>
    <mergeCell ref="H1496:I1496"/>
    <mergeCell ref="H1497:I1497"/>
    <mergeCell ref="H1498:I1498"/>
    <mergeCell ref="H1499:I1499"/>
    <mergeCell ref="H1488:I1488"/>
    <mergeCell ref="H1489:I1489"/>
    <mergeCell ref="H1490:I1490"/>
    <mergeCell ref="H1491:I1491"/>
    <mergeCell ref="H1492:I1492"/>
    <mergeCell ref="H1493:I1493"/>
    <mergeCell ref="H1482:I1482"/>
    <mergeCell ref="H1483:I1483"/>
    <mergeCell ref="H1484:I1484"/>
    <mergeCell ref="H1485:I1485"/>
    <mergeCell ref="H1486:I1486"/>
    <mergeCell ref="H1487:I1487"/>
    <mergeCell ref="H1476:I1476"/>
    <mergeCell ref="H1477:I1477"/>
    <mergeCell ref="H1478:I1478"/>
    <mergeCell ref="H1479:I1479"/>
    <mergeCell ref="H1480:I1480"/>
    <mergeCell ref="H1481:I1481"/>
    <mergeCell ref="H1470:I1470"/>
    <mergeCell ref="H1471:I1471"/>
    <mergeCell ref="H1472:I1472"/>
    <mergeCell ref="H1473:I1473"/>
    <mergeCell ref="H1474:I1474"/>
    <mergeCell ref="H1475:I1475"/>
    <mergeCell ref="H1464:I1464"/>
    <mergeCell ref="H1465:I1465"/>
    <mergeCell ref="H1466:I1466"/>
    <mergeCell ref="H1467:I1467"/>
    <mergeCell ref="H1468:I1468"/>
    <mergeCell ref="H1469:I1469"/>
    <mergeCell ref="H1557:I1557"/>
    <mergeCell ref="H1558:I1558"/>
    <mergeCell ref="H1564:I1564"/>
    <mergeCell ref="H1565:I1565"/>
    <mergeCell ref="H1566:I1566"/>
    <mergeCell ref="H1567:I1578"/>
    <mergeCell ref="H1551:I1551"/>
    <mergeCell ref="H1552:I1552"/>
    <mergeCell ref="H1553:I1553"/>
    <mergeCell ref="H1554:I1554"/>
    <mergeCell ref="H1555:I1555"/>
    <mergeCell ref="H1556:I1556"/>
    <mergeCell ref="H1545:I1545"/>
    <mergeCell ref="H1546:I1546"/>
    <mergeCell ref="H1547:I1547"/>
    <mergeCell ref="H1548:I1548"/>
    <mergeCell ref="H1549:I1549"/>
    <mergeCell ref="H1550:I1550"/>
    <mergeCell ref="H1539:I1539"/>
    <mergeCell ref="H1540:I1540"/>
    <mergeCell ref="H1541:I1541"/>
    <mergeCell ref="H1542:I1542"/>
    <mergeCell ref="H1543:I1543"/>
    <mergeCell ref="H1544:I1544"/>
    <mergeCell ref="H1533:I1533"/>
    <mergeCell ref="H1534:I1534"/>
    <mergeCell ref="H1535:I1535"/>
    <mergeCell ref="H1536:I1536"/>
    <mergeCell ref="H1537:I1537"/>
    <mergeCell ref="H1538:I1538"/>
    <mergeCell ref="H1527:I1527"/>
    <mergeCell ref="H1528:I1528"/>
    <mergeCell ref="H1529:I1529"/>
    <mergeCell ref="H1530:I1530"/>
    <mergeCell ref="H1531:I1531"/>
    <mergeCell ref="H1532:I1532"/>
    <mergeCell ref="H1521:I1521"/>
    <mergeCell ref="H1522:I1522"/>
    <mergeCell ref="H1523:I1523"/>
    <mergeCell ref="H1524:I1524"/>
    <mergeCell ref="H1525:I1525"/>
    <mergeCell ref="H1526:I1526"/>
    <mergeCell ref="H1630:I1630"/>
    <mergeCell ref="H1631:I1631"/>
    <mergeCell ref="H1632:I1632"/>
    <mergeCell ref="H1633:I1633"/>
    <mergeCell ref="H1634:I1634"/>
    <mergeCell ref="H1635:I1635"/>
    <mergeCell ref="H1613:I1613"/>
    <mergeCell ref="H1614:I1614"/>
    <mergeCell ref="H1615:I1626"/>
    <mergeCell ref="H1627:I1627"/>
    <mergeCell ref="H1628:I1628"/>
    <mergeCell ref="H1629:I1629"/>
    <mergeCell ref="H1607:I1607"/>
    <mergeCell ref="H1608:I1608"/>
    <mergeCell ref="H1609:I1609"/>
    <mergeCell ref="H1610:I1610"/>
    <mergeCell ref="H1611:I1611"/>
    <mergeCell ref="H1612:I1612"/>
    <mergeCell ref="H1601:I1601"/>
    <mergeCell ref="H1602:I1602"/>
    <mergeCell ref="H1603:I1603"/>
    <mergeCell ref="H1604:I1604"/>
    <mergeCell ref="H1605:I1605"/>
    <mergeCell ref="H1606:I1606"/>
    <mergeCell ref="H1595:I1595"/>
    <mergeCell ref="H1596:I1596"/>
    <mergeCell ref="H1597:I1597"/>
    <mergeCell ref="H1598:I1598"/>
    <mergeCell ref="H1599:I1599"/>
    <mergeCell ref="H1600:I1600"/>
    <mergeCell ref="H1589:I1589"/>
    <mergeCell ref="H1590:I1590"/>
    <mergeCell ref="H1591:I1591"/>
    <mergeCell ref="H1592:I1592"/>
    <mergeCell ref="H1593:I1593"/>
    <mergeCell ref="H1594:I1594"/>
    <mergeCell ref="H1688:I1688"/>
    <mergeCell ref="H1689:I1689"/>
    <mergeCell ref="H1690:I1690"/>
    <mergeCell ref="H1691:I1691"/>
    <mergeCell ref="H1692:I1692"/>
    <mergeCell ref="H1582:I1582"/>
    <mergeCell ref="H1583:I1583"/>
    <mergeCell ref="H1584:I1584"/>
    <mergeCell ref="H1585:I1585"/>
    <mergeCell ref="H1586:I1586"/>
    <mergeCell ref="H1682:I1682"/>
    <mergeCell ref="H1683:I1683"/>
    <mergeCell ref="H1684:I1684"/>
    <mergeCell ref="H1685:I1685"/>
    <mergeCell ref="H1686:I1686"/>
    <mergeCell ref="H1687:I1687"/>
    <mergeCell ref="H1676:I1676"/>
    <mergeCell ref="H1677:I1677"/>
    <mergeCell ref="H1678:I1678"/>
    <mergeCell ref="H1679:I1679"/>
    <mergeCell ref="H1680:I1680"/>
    <mergeCell ref="H1681:I1681"/>
    <mergeCell ref="H1670:I1670"/>
    <mergeCell ref="H1671:I1671"/>
    <mergeCell ref="H1672:I1672"/>
    <mergeCell ref="H1673:I1673"/>
    <mergeCell ref="H1674:I1674"/>
    <mergeCell ref="H1675:I1675"/>
    <mergeCell ref="H1664:I1664"/>
    <mergeCell ref="H1665:I1665"/>
    <mergeCell ref="H1666:I1666"/>
    <mergeCell ref="H1667:I1667"/>
    <mergeCell ref="H1668:I1668"/>
    <mergeCell ref="H1669:I1669"/>
    <mergeCell ref="H1658:I1658"/>
    <mergeCell ref="H1659:I1659"/>
    <mergeCell ref="H1660:I1660"/>
    <mergeCell ref="H1661:I1661"/>
    <mergeCell ref="H1662:I1662"/>
    <mergeCell ref="H1663:I1663"/>
    <mergeCell ref="H1652:I1652"/>
    <mergeCell ref="H1653:I1653"/>
    <mergeCell ref="H1654:I1654"/>
    <mergeCell ref="H1655:I1655"/>
    <mergeCell ref="H1656:I1656"/>
    <mergeCell ref="H1657:I1657"/>
    <mergeCell ref="H1646:I1646"/>
    <mergeCell ref="H1647:I1647"/>
    <mergeCell ref="H1648:I1648"/>
    <mergeCell ref="H1649:I1649"/>
    <mergeCell ref="H1650:I1650"/>
    <mergeCell ref="H1651:I1651"/>
    <mergeCell ref="H1640:I1640"/>
    <mergeCell ref="H1641:I1641"/>
    <mergeCell ref="H1642:I1642"/>
    <mergeCell ref="H1643:I1643"/>
    <mergeCell ref="H1644:I1644"/>
    <mergeCell ref="H1645:I1645"/>
    <mergeCell ref="H1405:I1405"/>
    <mergeCell ref="H1636:I1636"/>
    <mergeCell ref="H1637:I1637"/>
    <mergeCell ref="H1638:I1638"/>
    <mergeCell ref="H1639:I1639"/>
    <mergeCell ref="H1579:I1579"/>
    <mergeCell ref="H1580:I1580"/>
    <mergeCell ref="H1581:I1581"/>
    <mergeCell ref="H1587:I1587"/>
    <mergeCell ref="H1588:I1588"/>
    <mergeCell ref="H1399:I1399"/>
    <mergeCell ref="H1400:I1400"/>
    <mergeCell ref="H1401:I1401"/>
    <mergeCell ref="H1402:I1402"/>
    <mergeCell ref="H1403:I1403"/>
    <mergeCell ref="H1404:I1404"/>
    <mergeCell ref="H1393:I1393"/>
    <mergeCell ref="H1394:I1394"/>
    <mergeCell ref="H1395:I1395"/>
    <mergeCell ref="H1396:I1396"/>
    <mergeCell ref="H1397:I1397"/>
    <mergeCell ref="H1398:I1398"/>
    <mergeCell ref="H1381:I1381"/>
    <mergeCell ref="H1382:I1382"/>
    <mergeCell ref="H1383:I1383"/>
    <mergeCell ref="H1384:I1384"/>
    <mergeCell ref="H1391:I1391"/>
    <mergeCell ref="H1392:I1392"/>
    <mergeCell ref="H1385:I1390"/>
    <mergeCell ref="H1375:I1375"/>
    <mergeCell ref="H1376:I1376"/>
    <mergeCell ref="H1377:I1377"/>
    <mergeCell ref="H1378:I1378"/>
    <mergeCell ref="H1379:I1379"/>
    <mergeCell ref="H1380:I1380"/>
    <mergeCell ref="H1369:I1369"/>
    <mergeCell ref="H1370:I1370"/>
    <mergeCell ref="H1371:I1371"/>
    <mergeCell ref="H1372:I1372"/>
    <mergeCell ref="H1373:I1373"/>
    <mergeCell ref="H1374:I1374"/>
    <mergeCell ref="H1363:I1363"/>
    <mergeCell ref="H1364:I1364"/>
    <mergeCell ref="H1365:I1365"/>
    <mergeCell ref="H1366:I1366"/>
    <mergeCell ref="H1367:I1367"/>
    <mergeCell ref="H1368:I1368"/>
    <mergeCell ref="H1357:I1357"/>
    <mergeCell ref="H1358:I1358"/>
    <mergeCell ref="H1359:I1359"/>
    <mergeCell ref="H1360:I1360"/>
    <mergeCell ref="H1361:I1361"/>
    <mergeCell ref="H1362:I1362"/>
    <mergeCell ref="H1351:I1351"/>
    <mergeCell ref="H1352:I1352"/>
    <mergeCell ref="H1353:I1353"/>
    <mergeCell ref="H1354:I1354"/>
    <mergeCell ref="H1355:I1355"/>
    <mergeCell ref="H1356:I1356"/>
    <mergeCell ref="H1344:I1344"/>
    <mergeCell ref="H1345:I1345"/>
    <mergeCell ref="H1346:I1346"/>
    <mergeCell ref="H1347:I1347"/>
    <mergeCell ref="H1348:I1348"/>
    <mergeCell ref="H1350:I1350"/>
    <mergeCell ref="H1349:I1349"/>
    <mergeCell ref="H1338:I1338"/>
    <mergeCell ref="H1339:I1339"/>
    <mergeCell ref="H1340:I1340"/>
    <mergeCell ref="H1341:I1341"/>
    <mergeCell ref="H1342:I1342"/>
    <mergeCell ref="H1343:I1343"/>
    <mergeCell ref="H1332:I1332"/>
    <mergeCell ref="H1333:I1333"/>
    <mergeCell ref="H1334:I1334"/>
    <mergeCell ref="H1335:I1335"/>
    <mergeCell ref="H1336:I1336"/>
    <mergeCell ref="H1337:I1337"/>
    <mergeCell ref="H1326:I1326"/>
    <mergeCell ref="H1327:I1327"/>
    <mergeCell ref="H1328:I1328"/>
    <mergeCell ref="H1329:I1329"/>
    <mergeCell ref="H1330:I1330"/>
    <mergeCell ref="H1331:I1331"/>
    <mergeCell ref="H1320:I1320"/>
    <mergeCell ref="H1321:I1321"/>
    <mergeCell ref="H1322:I1322"/>
    <mergeCell ref="H1323:I1323"/>
    <mergeCell ref="H1324:I1324"/>
    <mergeCell ref="H1325:I1325"/>
    <mergeCell ref="H1314:I1314"/>
    <mergeCell ref="H1315:I1315"/>
    <mergeCell ref="H1316:I1316"/>
    <mergeCell ref="H1317:I1317"/>
    <mergeCell ref="H1318:I1318"/>
    <mergeCell ref="H1319:I1319"/>
    <mergeCell ref="H1308:I1308"/>
    <mergeCell ref="H1309:I1309"/>
    <mergeCell ref="H1310:I1310"/>
    <mergeCell ref="H1311:I1311"/>
    <mergeCell ref="H1312:I1312"/>
    <mergeCell ref="H1313:I1313"/>
    <mergeCell ref="H1302:I1302"/>
    <mergeCell ref="H1303:I1303"/>
    <mergeCell ref="H1304:I1304"/>
    <mergeCell ref="H1305:I1305"/>
    <mergeCell ref="H1306:I1306"/>
    <mergeCell ref="H1307:I1307"/>
    <mergeCell ref="H1296:I1296"/>
    <mergeCell ref="H1297:I1297"/>
    <mergeCell ref="H1298:I1298"/>
    <mergeCell ref="H1299:I1299"/>
    <mergeCell ref="H1300:I1300"/>
    <mergeCell ref="H1301:I1301"/>
    <mergeCell ref="H1292:I1292"/>
    <mergeCell ref="H1293:I1293"/>
    <mergeCell ref="H1294:I1294"/>
    <mergeCell ref="H1295:I1295"/>
    <mergeCell ref="H1285:I1285"/>
    <mergeCell ref="H1286:I1286"/>
    <mergeCell ref="H1287:I1287"/>
    <mergeCell ref="H1288:I1288"/>
    <mergeCell ref="H1237:I1237"/>
    <mergeCell ref="H1238:I1238"/>
    <mergeCell ref="H1239:I1239"/>
    <mergeCell ref="H1241:I1241"/>
    <mergeCell ref="H1272:I1272"/>
    <mergeCell ref="H1291:I1291"/>
    <mergeCell ref="H1289:I1289"/>
    <mergeCell ref="H1290:I1290"/>
    <mergeCell ref="H1283:I1283"/>
    <mergeCell ref="H1284:I1284"/>
    <mergeCell ref="H708:I708"/>
    <mergeCell ref="H844:I844"/>
    <mergeCell ref="H717:I717"/>
    <mergeCell ref="H715:I715"/>
    <mergeCell ref="H710:I710"/>
    <mergeCell ref="H711:I711"/>
    <mergeCell ref="H714:I714"/>
    <mergeCell ref="H718:I718"/>
    <mergeCell ref="H719:I719"/>
    <mergeCell ref="H720:I720"/>
    <mergeCell ref="H681:I681"/>
    <mergeCell ref="H682:I682"/>
    <mergeCell ref="H683:I683"/>
    <mergeCell ref="H704:I704"/>
    <mergeCell ref="H658:I658"/>
    <mergeCell ref="H659:I659"/>
    <mergeCell ref="H660:I660"/>
    <mergeCell ref="H661:I661"/>
    <mergeCell ref="H673:I673"/>
    <mergeCell ref="H664:I664"/>
    <mergeCell ref="H638:I638"/>
    <mergeCell ref="H639:I639"/>
    <mergeCell ref="H640:I640"/>
    <mergeCell ref="H641:I641"/>
    <mergeCell ref="H642:I642"/>
    <mergeCell ref="H644:I644"/>
    <mergeCell ref="H592:I592"/>
    <mergeCell ref="H593:I593"/>
    <mergeCell ref="H594:I594"/>
    <mergeCell ref="H588:I588"/>
    <mergeCell ref="H589:I589"/>
    <mergeCell ref="H647:I647"/>
    <mergeCell ref="H598:I598"/>
    <mergeCell ref="H599:I599"/>
    <mergeCell ref="H600:I600"/>
    <mergeCell ref="H601:I601"/>
    <mergeCell ref="H590:I590"/>
    <mergeCell ref="H591:I591"/>
    <mergeCell ref="H549:I549"/>
    <mergeCell ref="H550:I550"/>
    <mergeCell ref="H551:I551"/>
    <mergeCell ref="H552:I552"/>
    <mergeCell ref="H555:I555"/>
    <mergeCell ref="H556:I556"/>
    <mergeCell ref="H557:I557"/>
    <mergeCell ref="H558:I558"/>
    <mergeCell ref="H585:I585"/>
    <mergeCell ref="H586:I586"/>
    <mergeCell ref="H567:I567"/>
    <mergeCell ref="H568:I568"/>
    <mergeCell ref="H544:I544"/>
    <mergeCell ref="H545:I545"/>
    <mergeCell ref="H553:I553"/>
    <mergeCell ref="H565:I565"/>
    <mergeCell ref="H559:I559"/>
    <mergeCell ref="H578:I578"/>
    <mergeCell ref="H412:I412"/>
    <mergeCell ref="H413:I413"/>
    <mergeCell ref="H414:I414"/>
    <mergeCell ref="H415:I415"/>
    <mergeCell ref="H474:I474"/>
    <mergeCell ref="H554:I554"/>
    <mergeCell ref="H533:I533"/>
    <mergeCell ref="H531:I531"/>
    <mergeCell ref="H534:I534"/>
    <mergeCell ref="H535:I535"/>
    <mergeCell ref="H307:I307"/>
    <mergeCell ref="H308:I308"/>
    <mergeCell ref="H338:I338"/>
    <mergeCell ref="H339:I339"/>
    <mergeCell ref="H340:I340"/>
    <mergeCell ref="H361:I361"/>
    <mergeCell ref="H321:I321"/>
    <mergeCell ref="H322:I322"/>
    <mergeCell ref="H323:I323"/>
    <mergeCell ref="H324:I324"/>
    <mergeCell ref="H309:I309"/>
    <mergeCell ref="H310:I310"/>
    <mergeCell ref="H311:I311"/>
    <mergeCell ref="H312:I312"/>
    <mergeCell ref="H282:I282"/>
    <mergeCell ref="H302:I302"/>
    <mergeCell ref="H304:I304"/>
    <mergeCell ref="H305:I305"/>
    <mergeCell ref="H306:I306"/>
    <mergeCell ref="H301:I301"/>
    <mergeCell ref="H303:I303"/>
    <mergeCell ref="H291:I291"/>
    <mergeCell ref="H292:I292"/>
    <mergeCell ref="H293:I293"/>
    <mergeCell ref="H246:I246"/>
    <mergeCell ref="H247:I247"/>
    <mergeCell ref="H248:I248"/>
    <mergeCell ref="H249:I249"/>
    <mergeCell ref="H250:I250"/>
    <mergeCell ref="H280:I280"/>
    <mergeCell ref="H251:I251"/>
    <mergeCell ref="H252:I252"/>
    <mergeCell ref="H253:I253"/>
    <mergeCell ref="H192:I192"/>
    <mergeCell ref="H193:I193"/>
    <mergeCell ref="H223:I223"/>
    <mergeCell ref="H224:I224"/>
    <mergeCell ref="H225:I225"/>
    <mergeCell ref="H244:I244"/>
    <mergeCell ref="H194:I194"/>
    <mergeCell ref="H167:I167"/>
    <mergeCell ref="H187:I187"/>
    <mergeCell ref="H189:I189"/>
    <mergeCell ref="H190:I190"/>
    <mergeCell ref="H191:I191"/>
    <mergeCell ref="H184:I184"/>
    <mergeCell ref="H185:I185"/>
    <mergeCell ref="H183:I183"/>
    <mergeCell ref="H186:I186"/>
    <mergeCell ref="H188:I188"/>
    <mergeCell ref="H131:I131"/>
    <mergeCell ref="H132:I132"/>
    <mergeCell ref="H133:I133"/>
    <mergeCell ref="H134:I134"/>
    <mergeCell ref="H135:I135"/>
    <mergeCell ref="H165:I165"/>
    <mergeCell ref="H142:I142"/>
    <mergeCell ref="H146:I146"/>
    <mergeCell ref="H143:I143"/>
    <mergeCell ref="H144:I144"/>
    <mergeCell ref="H270:I270"/>
    <mergeCell ref="H271:I271"/>
    <mergeCell ref="H272:I272"/>
    <mergeCell ref="H395:I397"/>
    <mergeCell ref="H476:I480"/>
    <mergeCell ref="H484:I485"/>
    <mergeCell ref="H273:I273"/>
    <mergeCell ref="H417:I472"/>
    <mergeCell ref="H410:I410"/>
    <mergeCell ref="H411:I411"/>
    <mergeCell ref="H488:I493"/>
    <mergeCell ref="H510:I512"/>
    <mergeCell ref="H721:I721"/>
    <mergeCell ref="H722:I722"/>
    <mergeCell ref="H16:I16"/>
    <mergeCell ref="H17:I17"/>
    <mergeCell ref="H18:I18"/>
    <mergeCell ref="H19:I19"/>
    <mergeCell ref="H20:I20"/>
    <mergeCell ref="H126:I126"/>
    <mergeCell ref="H127:I127"/>
    <mergeCell ref="H114:I114"/>
    <mergeCell ref="H723:I723"/>
    <mergeCell ref="H724:I724"/>
    <mergeCell ref="H725:I725"/>
    <mergeCell ref="H726:I726"/>
    <mergeCell ref="H117:I117"/>
    <mergeCell ref="H118:I118"/>
    <mergeCell ref="H119:I119"/>
    <mergeCell ref="H115:I115"/>
    <mergeCell ref="H727:I727"/>
    <mergeCell ref="H728:I728"/>
    <mergeCell ref="H729:I729"/>
    <mergeCell ref="H730:I730"/>
    <mergeCell ref="H731:I731"/>
    <mergeCell ref="H732:I732"/>
    <mergeCell ref="H733:I733"/>
    <mergeCell ref="H734:I734"/>
    <mergeCell ref="H735:I735"/>
    <mergeCell ref="H736:I736"/>
    <mergeCell ref="H737:I737"/>
    <mergeCell ref="H741:I741"/>
    <mergeCell ref="H742:I742"/>
    <mergeCell ref="H743:I743"/>
    <mergeCell ref="H744:I744"/>
    <mergeCell ref="H738:I738"/>
    <mergeCell ref="H739:I739"/>
    <mergeCell ref="H740:I740"/>
    <mergeCell ref="H1269:I1269"/>
    <mergeCell ref="H1273:I1273"/>
    <mergeCell ref="H1274:I1274"/>
    <mergeCell ref="H845:I845"/>
    <mergeCell ref="H1129:I1129"/>
    <mergeCell ref="H1130:I1130"/>
    <mergeCell ref="H1127:I1127"/>
    <mergeCell ref="H1128:I1128"/>
    <mergeCell ref="H1270:I1270"/>
    <mergeCell ref="H1271:I1271"/>
    <mergeCell ref="H1281:I1281"/>
    <mergeCell ref="H1282:I1282"/>
    <mergeCell ref="H745:I745"/>
    <mergeCell ref="H746:I746"/>
    <mergeCell ref="H747:I747"/>
    <mergeCell ref="H748:I748"/>
    <mergeCell ref="H1120:I1120"/>
    <mergeCell ref="H1121:I1121"/>
    <mergeCell ref="H1240:I1240"/>
    <mergeCell ref="H1246:I1246"/>
    <mergeCell ref="H1277:I1277"/>
    <mergeCell ref="H1278:I1278"/>
    <mergeCell ref="H1279:I1279"/>
    <mergeCell ref="H1280:I1280"/>
    <mergeCell ref="H1261:I1261"/>
    <mergeCell ref="H1262:I1262"/>
    <mergeCell ref="H1275:I1275"/>
    <mergeCell ref="H1276:I1276"/>
    <mergeCell ref="H1263:I1263"/>
    <mergeCell ref="H1264:I1264"/>
    <mergeCell ref="H1266:I1266"/>
    <mergeCell ref="H1267:I1267"/>
    <mergeCell ref="H1268:I1268"/>
    <mergeCell ref="H1255:I1255"/>
    <mergeCell ref="H1256:I1256"/>
    <mergeCell ref="H1257:I1257"/>
    <mergeCell ref="H1258:I1258"/>
    <mergeCell ref="H1259:I1259"/>
    <mergeCell ref="H1260:I1260"/>
    <mergeCell ref="H1248:I1248"/>
    <mergeCell ref="H1251:I1251"/>
    <mergeCell ref="H1252:I1252"/>
    <mergeCell ref="H1253:I1253"/>
    <mergeCell ref="H1254:I1254"/>
    <mergeCell ref="H1265:I1265"/>
    <mergeCell ref="H1234:I1234"/>
    <mergeCell ref="H1235:I1235"/>
    <mergeCell ref="H1236:I1236"/>
    <mergeCell ref="H1249:I1249"/>
    <mergeCell ref="H1250:I1250"/>
    <mergeCell ref="H1242:I1242"/>
    <mergeCell ref="H1243:I1243"/>
    <mergeCell ref="H1244:I1244"/>
    <mergeCell ref="H1245:I1245"/>
    <mergeCell ref="H1247:I1247"/>
    <mergeCell ref="H1228:I1228"/>
    <mergeCell ref="H1229:I1229"/>
    <mergeCell ref="H1230:I1230"/>
    <mergeCell ref="H1231:I1231"/>
    <mergeCell ref="H1232:I1232"/>
    <mergeCell ref="H1233:I1233"/>
    <mergeCell ref="H1222:I1222"/>
    <mergeCell ref="H1223:I1223"/>
    <mergeCell ref="H1224:I1224"/>
    <mergeCell ref="H1225:I1225"/>
    <mergeCell ref="H1226:I1226"/>
    <mergeCell ref="H1227:I1227"/>
    <mergeCell ref="H1217:I1217"/>
    <mergeCell ref="H1218:I1218"/>
    <mergeCell ref="H1213:I1215"/>
    <mergeCell ref="H1219:I1219"/>
    <mergeCell ref="H1220:I1220"/>
    <mergeCell ref="H1221:I1221"/>
    <mergeCell ref="H1208:I1208"/>
    <mergeCell ref="H1209:I1209"/>
    <mergeCell ref="H1210:I1210"/>
    <mergeCell ref="H1211:I1211"/>
    <mergeCell ref="H1212:I1212"/>
    <mergeCell ref="H1216:I1216"/>
    <mergeCell ref="H1202:I1202"/>
    <mergeCell ref="H1203:I1203"/>
    <mergeCell ref="H1204:I1204"/>
    <mergeCell ref="H1205:I1205"/>
    <mergeCell ref="H1206:I1206"/>
    <mergeCell ref="H1207:I1207"/>
    <mergeCell ref="H1198:I1198"/>
    <mergeCell ref="H1199:I1199"/>
    <mergeCell ref="H1200:I1200"/>
    <mergeCell ref="H1197:I1197"/>
    <mergeCell ref="H1196:I1196"/>
    <mergeCell ref="H1201:I1201"/>
    <mergeCell ref="H1173:I1173"/>
    <mergeCell ref="H1174:I1174"/>
    <mergeCell ref="H1175:I1175"/>
    <mergeCell ref="H1176:I1176"/>
    <mergeCell ref="H1177:I1177"/>
    <mergeCell ref="H1178:I1178"/>
    <mergeCell ref="H1167:I1167"/>
    <mergeCell ref="H1168:I1168"/>
    <mergeCell ref="H1169:I1169"/>
    <mergeCell ref="H1170:I1170"/>
    <mergeCell ref="H1171:I1171"/>
    <mergeCell ref="H1172:I1172"/>
    <mergeCell ref="H1161:I1161"/>
    <mergeCell ref="H1162:I1162"/>
    <mergeCell ref="H1163:I1163"/>
    <mergeCell ref="H1164:I1164"/>
    <mergeCell ref="H1165:I1165"/>
    <mergeCell ref="H1166:I1166"/>
    <mergeCell ref="H1155:I1155"/>
    <mergeCell ref="H1159:I1159"/>
    <mergeCell ref="H1160:I1160"/>
    <mergeCell ref="H1156:I1156"/>
    <mergeCell ref="H1157:I1157"/>
    <mergeCell ref="H1158:I1158"/>
    <mergeCell ref="H1149:I1149"/>
    <mergeCell ref="H1150:I1150"/>
    <mergeCell ref="H1151:I1151"/>
    <mergeCell ref="H1152:I1152"/>
    <mergeCell ref="H1153:I1153"/>
    <mergeCell ref="H1154:I1154"/>
    <mergeCell ref="H1143:I1143"/>
    <mergeCell ref="H1144:I1144"/>
    <mergeCell ref="H1145:I1145"/>
    <mergeCell ref="H1146:I1146"/>
    <mergeCell ref="H1147:I1147"/>
    <mergeCell ref="H1148:I1148"/>
    <mergeCell ref="H1137:I1137"/>
    <mergeCell ref="H1138:I1138"/>
    <mergeCell ref="H1139:I1139"/>
    <mergeCell ref="H1140:I1140"/>
    <mergeCell ref="H1141:I1141"/>
    <mergeCell ref="H1142:I1142"/>
    <mergeCell ref="H1133:I1133"/>
    <mergeCell ref="H1134:I1134"/>
    <mergeCell ref="H1135:I1135"/>
    <mergeCell ref="H1136:I1136"/>
    <mergeCell ref="H1077:I1077"/>
    <mergeCell ref="H1078:I1078"/>
    <mergeCell ref="H1079:I1079"/>
    <mergeCell ref="H1080:I1080"/>
    <mergeCell ref="H1081:I1081"/>
    <mergeCell ref="H1119:I1119"/>
    <mergeCell ref="H1074:I1074"/>
    <mergeCell ref="H1075:I1075"/>
    <mergeCell ref="H1076:I1076"/>
    <mergeCell ref="H1065:I1065"/>
    <mergeCell ref="H1066:I1066"/>
    <mergeCell ref="H1067:I1067"/>
    <mergeCell ref="H1068:I1068"/>
    <mergeCell ref="H1069:I1069"/>
    <mergeCell ref="H1071:I1071"/>
    <mergeCell ref="H1072:I1072"/>
    <mergeCell ref="H1070:I1070"/>
    <mergeCell ref="H1059:I1059"/>
    <mergeCell ref="H1063:I1063"/>
    <mergeCell ref="H1064:I1064"/>
    <mergeCell ref="H1060:I1062"/>
    <mergeCell ref="H1073:I1073"/>
    <mergeCell ref="H1053:I1053"/>
    <mergeCell ref="H1054:I1054"/>
    <mergeCell ref="H1055:I1055"/>
    <mergeCell ref="H1056:I1056"/>
    <mergeCell ref="H1057:I1057"/>
    <mergeCell ref="H1058:I1058"/>
    <mergeCell ref="H1047:I1047"/>
    <mergeCell ref="H1048:I1048"/>
    <mergeCell ref="H1049:I1049"/>
    <mergeCell ref="H1050:I1050"/>
    <mergeCell ref="H1051:I1051"/>
    <mergeCell ref="H1052:I1052"/>
    <mergeCell ref="H1042:I1042"/>
    <mergeCell ref="H1035:I1036"/>
    <mergeCell ref="H1043:I1043"/>
    <mergeCell ref="H1044:I1044"/>
    <mergeCell ref="H1045:I1045"/>
    <mergeCell ref="H1046:I1046"/>
    <mergeCell ref="H1039:I1039"/>
    <mergeCell ref="H1040:I1040"/>
    <mergeCell ref="H1033:I1033"/>
    <mergeCell ref="H1034:I1034"/>
    <mergeCell ref="H1041:I1041"/>
    <mergeCell ref="H1025:I1025"/>
    <mergeCell ref="H1026:I1030"/>
    <mergeCell ref="H1031:I1031"/>
    <mergeCell ref="H1032:I1032"/>
    <mergeCell ref="H1037:I1037"/>
    <mergeCell ref="H1038:I1038"/>
    <mergeCell ref="H981:I981"/>
    <mergeCell ref="H982:I982"/>
    <mergeCell ref="H983:I983"/>
    <mergeCell ref="H987:I1023"/>
    <mergeCell ref="H1024:I1024"/>
    <mergeCell ref="H984:I984"/>
    <mergeCell ref="H985:I985"/>
    <mergeCell ref="H986:I986"/>
    <mergeCell ref="H975:I975"/>
    <mergeCell ref="H976:I976"/>
    <mergeCell ref="H977:I977"/>
    <mergeCell ref="H978:I978"/>
    <mergeCell ref="H979:I979"/>
    <mergeCell ref="H980:I980"/>
    <mergeCell ref="H969:I969"/>
    <mergeCell ref="H970:I970"/>
    <mergeCell ref="H971:I971"/>
    <mergeCell ref="H972:I972"/>
    <mergeCell ref="H973:I973"/>
    <mergeCell ref="H974:I974"/>
    <mergeCell ref="H961:I961"/>
    <mergeCell ref="H962:I962"/>
    <mergeCell ref="H963:I963"/>
    <mergeCell ref="H964:I964"/>
    <mergeCell ref="H965:I965"/>
    <mergeCell ref="H966:I968"/>
    <mergeCell ref="H955:I955"/>
    <mergeCell ref="H956:I956"/>
    <mergeCell ref="H957:I957"/>
    <mergeCell ref="H958:I958"/>
    <mergeCell ref="H959:I959"/>
    <mergeCell ref="H960:I960"/>
    <mergeCell ref="H949:I949"/>
    <mergeCell ref="H950:I950"/>
    <mergeCell ref="H951:I951"/>
    <mergeCell ref="H952:I952"/>
    <mergeCell ref="H953:I953"/>
    <mergeCell ref="H954:I954"/>
    <mergeCell ref="H945:I945"/>
    <mergeCell ref="H940:I940"/>
    <mergeCell ref="H941:I942"/>
    <mergeCell ref="H946:I946"/>
    <mergeCell ref="H947:I947"/>
    <mergeCell ref="H948:I948"/>
    <mergeCell ref="H937:I937"/>
    <mergeCell ref="H932:I936"/>
    <mergeCell ref="H938:I938"/>
    <mergeCell ref="H943:I943"/>
    <mergeCell ref="H944:I944"/>
    <mergeCell ref="H939:I939"/>
    <mergeCell ref="H889:I889"/>
    <mergeCell ref="H890:I890"/>
    <mergeCell ref="H891:I891"/>
    <mergeCell ref="H929:I929"/>
    <mergeCell ref="H930:I930"/>
    <mergeCell ref="H931:I931"/>
    <mergeCell ref="H892:I928"/>
    <mergeCell ref="H883:I883"/>
    <mergeCell ref="H884:I884"/>
    <mergeCell ref="H885:I885"/>
    <mergeCell ref="H886:I886"/>
    <mergeCell ref="H887:I887"/>
    <mergeCell ref="H888:I888"/>
    <mergeCell ref="H877:I877"/>
    <mergeCell ref="H878:I878"/>
    <mergeCell ref="H879:I879"/>
    <mergeCell ref="H880:I880"/>
    <mergeCell ref="H881:I881"/>
    <mergeCell ref="H882:I882"/>
    <mergeCell ref="H868:I868"/>
    <mergeCell ref="H869:I869"/>
    <mergeCell ref="H870:I870"/>
    <mergeCell ref="H874:I874"/>
    <mergeCell ref="H875:I875"/>
    <mergeCell ref="H876:I876"/>
    <mergeCell ref="H871:I873"/>
    <mergeCell ref="H862:I862"/>
    <mergeCell ref="H863:I863"/>
    <mergeCell ref="H864:I864"/>
    <mergeCell ref="H865:I865"/>
    <mergeCell ref="H866:I866"/>
    <mergeCell ref="H867:I867"/>
    <mergeCell ref="H831:I831"/>
    <mergeCell ref="H832:I832"/>
    <mergeCell ref="H833:I833"/>
    <mergeCell ref="H834:I834"/>
    <mergeCell ref="H835:I835"/>
    <mergeCell ref="H836:I836"/>
    <mergeCell ref="H825:I825"/>
    <mergeCell ref="H826:I826"/>
    <mergeCell ref="H827:I827"/>
    <mergeCell ref="H828:I828"/>
    <mergeCell ref="H829:I829"/>
    <mergeCell ref="H830:I830"/>
    <mergeCell ref="H819:I819"/>
    <mergeCell ref="H820:I820"/>
    <mergeCell ref="H821:I821"/>
    <mergeCell ref="H822:I822"/>
    <mergeCell ref="H823:I823"/>
    <mergeCell ref="H824:I824"/>
    <mergeCell ref="H813:I813"/>
    <mergeCell ref="H814:I814"/>
    <mergeCell ref="H815:I815"/>
    <mergeCell ref="H816:I816"/>
    <mergeCell ref="H817:I817"/>
    <mergeCell ref="H818:I818"/>
    <mergeCell ref="H806:I806"/>
    <mergeCell ref="H807:I807"/>
    <mergeCell ref="H810:I810"/>
    <mergeCell ref="H811:I811"/>
    <mergeCell ref="H812:I812"/>
    <mergeCell ref="H808:I808"/>
    <mergeCell ref="H809:I809"/>
    <mergeCell ref="H800:I800"/>
    <mergeCell ref="H801:I801"/>
    <mergeCell ref="H802:I802"/>
    <mergeCell ref="H803:I803"/>
    <mergeCell ref="H804:I804"/>
    <mergeCell ref="H805:I805"/>
    <mergeCell ref="H794:I794"/>
    <mergeCell ref="H795:I795"/>
    <mergeCell ref="H796:I796"/>
    <mergeCell ref="H797:I797"/>
    <mergeCell ref="H798:I798"/>
    <mergeCell ref="H799:I799"/>
    <mergeCell ref="H788:I788"/>
    <mergeCell ref="H789:I789"/>
    <mergeCell ref="H790:I790"/>
    <mergeCell ref="H791:I791"/>
    <mergeCell ref="H792:I792"/>
    <mergeCell ref="H793:I793"/>
    <mergeCell ref="H782:I782"/>
    <mergeCell ref="H783:I783"/>
    <mergeCell ref="H784:I784"/>
    <mergeCell ref="H785:I785"/>
    <mergeCell ref="H786:I786"/>
    <mergeCell ref="H787:I787"/>
    <mergeCell ref="H776:I776"/>
    <mergeCell ref="H777:I777"/>
    <mergeCell ref="H778:I778"/>
    <mergeCell ref="H779:I779"/>
    <mergeCell ref="H780:I780"/>
    <mergeCell ref="H781:I781"/>
    <mergeCell ref="H769:I769"/>
    <mergeCell ref="H770:I770"/>
    <mergeCell ref="H773:I773"/>
    <mergeCell ref="H774:I774"/>
    <mergeCell ref="H775:I775"/>
    <mergeCell ref="H771:I771"/>
    <mergeCell ref="H772:I772"/>
    <mergeCell ref="H763:I763"/>
    <mergeCell ref="H764:I764"/>
    <mergeCell ref="H765:I765"/>
    <mergeCell ref="H766:I766"/>
    <mergeCell ref="H767:I767"/>
    <mergeCell ref="H768:I768"/>
    <mergeCell ref="H759:I759"/>
    <mergeCell ref="H760:I760"/>
    <mergeCell ref="H761:I761"/>
    <mergeCell ref="H762:I762"/>
    <mergeCell ref="H262:I262"/>
    <mergeCell ref="H263:I263"/>
    <mergeCell ref="H264:I264"/>
    <mergeCell ref="H265:I265"/>
    <mergeCell ref="H749:I749"/>
    <mergeCell ref="H750:I750"/>
    <mergeCell ref="H751:I751"/>
    <mergeCell ref="H752:I752"/>
    <mergeCell ref="H120:I120"/>
    <mergeCell ref="H121:I121"/>
    <mergeCell ref="H122:I122"/>
    <mergeCell ref="H123:I123"/>
    <mergeCell ref="H124:I124"/>
    <mergeCell ref="H125:I125"/>
    <mergeCell ref="H268:I268"/>
    <mergeCell ref="H269:I269"/>
    <mergeCell ref="H110:I110"/>
    <mergeCell ref="H111:I111"/>
    <mergeCell ref="H112:I112"/>
    <mergeCell ref="H113:I113"/>
    <mergeCell ref="H103:I103"/>
    <mergeCell ref="H104:I104"/>
    <mergeCell ref="H105:I105"/>
    <mergeCell ref="H107:I109"/>
    <mergeCell ref="H95:I95"/>
    <mergeCell ref="H96:I96"/>
    <mergeCell ref="H116:I116"/>
    <mergeCell ref="H97:I97"/>
    <mergeCell ref="H98:I98"/>
    <mergeCell ref="H99:I99"/>
    <mergeCell ref="H100:I100"/>
    <mergeCell ref="H101:I101"/>
    <mergeCell ref="H102:I102"/>
    <mergeCell ref="H106:I106"/>
    <mergeCell ref="H89:I89"/>
    <mergeCell ref="H90:I90"/>
    <mergeCell ref="H91:I91"/>
    <mergeCell ref="H92:I92"/>
    <mergeCell ref="H93:I93"/>
    <mergeCell ref="H94:I94"/>
    <mergeCell ref="H83:I83"/>
    <mergeCell ref="H84:I84"/>
    <mergeCell ref="H85:I85"/>
    <mergeCell ref="H86:I86"/>
    <mergeCell ref="H87:I87"/>
    <mergeCell ref="H88:I88"/>
    <mergeCell ref="H78:I78"/>
    <mergeCell ref="H79:I79"/>
    <mergeCell ref="H80:I80"/>
    <mergeCell ref="H81:I81"/>
    <mergeCell ref="H73:I77"/>
    <mergeCell ref="H82:I82"/>
    <mergeCell ref="H67:I67"/>
    <mergeCell ref="H68:I68"/>
    <mergeCell ref="H69:I69"/>
    <mergeCell ref="H70:I70"/>
    <mergeCell ref="H71:I71"/>
    <mergeCell ref="H72:I72"/>
    <mergeCell ref="H61:I61"/>
    <mergeCell ref="H62:I62"/>
    <mergeCell ref="H63:I63"/>
    <mergeCell ref="H64:I64"/>
    <mergeCell ref="H65:I65"/>
    <mergeCell ref="H66:I66"/>
    <mergeCell ref="H55:I55"/>
    <mergeCell ref="H56:I56"/>
    <mergeCell ref="H57:I57"/>
    <mergeCell ref="H58:I58"/>
    <mergeCell ref="H59:I59"/>
    <mergeCell ref="H60:I60"/>
    <mergeCell ref="H47:I47"/>
    <mergeCell ref="H48:I48"/>
    <mergeCell ref="H49:I49"/>
    <mergeCell ref="H53:I53"/>
    <mergeCell ref="H54:I54"/>
    <mergeCell ref="H50:I52"/>
    <mergeCell ref="H41:I41"/>
    <mergeCell ref="H42:I42"/>
    <mergeCell ref="H43:I43"/>
    <mergeCell ref="H44:I44"/>
    <mergeCell ref="H45:I45"/>
    <mergeCell ref="H46:I46"/>
    <mergeCell ref="H35:I35"/>
    <mergeCell ref="H36:I36"/>
    <mergeCell ref="H37:I37"/>
    <mergeCell ref="H38:I38"/>
    <mergeCell ref="H39:I39"/>
    <mergeCell ref="H40:I40"/>
    <mergeCell ref="H26:I26"/>
    <mergeCell ref="H30:I30"/>
    <mergeCell ref="H31:I31"/>
    <mergeCell ref="H32:I32"/>
    <mergeCell ref="H33:I33"/>
    <mergeCell ref="H34:I34"/>
    <mergeCell ref="A13:B13"/>
    <mergeCell ref="H13:I13"/>
    <mergeCell ref="H14:I14"/>
    <mergeCell ref="H15:I15"/>
    <mergeCell ref="A11:B12"/>
    <mergeCell ref="C11:C12"/>
    <mergeCell ref="D11:D12"/>
    <mergeCell ref="E11:E12"/>
    <mergeCell ref="F11:G11"/>
    <mergeCell ref="H11:I12"/>
    <mergeCell ref="H856:I856"/>
    <mergeCell ref="H855:I855"/>
    <mergeCell ref="H21:I21"/>
    <mergeCell ref="H22:I22"/>
    <mergeCell ref="H27:I27"/>
    <mergeCell ref="H28:I28"/>
    <mergeCell ref="H29:I29"/>
    <mergeCell ref="H23:I23"/>
    <mergeCell ref="H24:I24"/>
    <mergeCell ref="H25:I25"/>
    <mergeCell ref="H857:I857"/>
    <mergeCell ref="H858:I858"/>
    <mergeCell ref="H852:I852"/>
    <mergeCell ref="H853:I853"/>
    <mergeCell ref="H854:I854"/>
    <mergeCell ref="H842:I842"/>
    <mergeCell ref="H843:I843"/>
    <mergeCell ref="H848:I848"/>
    <mergeCell ref="H849:I849"/>
    <mergeCell ref="H846:I846"/>
    <mergeCell ref="H1500:I1511"/>
    <mergeCell ref="H1559:I1563"/>
    <mergeCell ref="H1184:I1184"/>
    <mergeCell ref="H1190:I1190"/>
    <mergeCell ref="H1191:I1191"/>
    <mergeCell ref="H1192:I1192"/>
    <mergeCell ref="H1443:I1463"/>
    <mergeCell ref="H1187:I1187"/>
    <mergeCell ref="H1188:I1188"/>
    <mergeCell ref="H1189:I1189"/>
    <mergeCell ref="H1186:I1186"/>
    <mergeCell ref="H1082:I1118"/>
    <mergeCell ref="H1122:I1126"/>
    <mergeCell ref="H1195:I1195"/>
    <mergeCell ref="H837:I841"/>
    <mergeCell ref="H1185:I1185"/>
    <mergeCell ref="H1193:I1193"/>
    <mergeCell ref="H1194:I1194"/>
    <mergeCell ref="H859:I859"/>
    <mergeCell ref="H860:I860"/>
    <mergeCell ref="H362:I362"/>
    <mergeCell ref="H363:I363"/>
    <mergeCell ref="H364:I364"/>
    <mergeCell ref="H365:I365"/>
    <mergeCell ref="H1179:I1183"/>
    <mergeCell ref="H847:I847"/>
    <mergeCell ref="H1131:I1132"/>
    <mergeCell ref="H861:I861"/>
    <mergeCell ref="H850:I850"/>
    <mergeCell ref="H851:I851"/>
  </mergeCells>
  <printOptions horizontalCentered="1"/>
  <pageMargins left="0.2362204724409449" right="0.15748031496062992" top="0.1968503937007874" bottom="0.15748031496062992" header="0.1968503937007874" footer="0.11811023622047245"/>
  <pageSetup horizontalDpi="600" verticalDpi="600" orientation="landscape" paperSize="9" scale="75" r:id="rId1"/>
  <rowBreaks count="1" manualBreakCount="1">
    <brk id="1692" min="1" max="8" man="1"/>
  </rowBreaks>
</worksheet>
</file>

<file path=xl/worksheets/sheet3.xml><?xml version="1.0" encoding="utf-8"?>
<worksheet xmlns="http://schemas.openxmlformats.org/spreadsheetml/2006/main" xmlns:r="http://schemas.openxmlformats.org/officeDocument/2006/relationships">
  <sheetPr>
    <tabColor rgb="FF92D050"/>
    <pageSetUpPr fitToPage="1"/>
  </sheetPr>
  <dimension ref="A1:J155"/>
  <sheetViews>
    <sheetView view="pageBreakPreview" zoomScale="90" zoomScaleSheetLayoutView="90" zoomScalePageLayoutView="0" workbookViewId="0" topLeftCell="B10">
      <selection activeCell="G25" sqref="G25:G29"/>
    </sheetView>
  </sheetViews>
  <sheetFormatPr defaultColWidth="9.00390625" defaultRowHeight="12.75"/>
  <cols>
    <col min="1" max="1" width="6.375" style="0" hidden="1" customWidth="1"/>
    <col min="2" max="2" width="7.625" style="0" customWidth="1"/>
    <col min="3" max="3" width="84.50390625" style="0" customWidth="1"/>
    <col min="4" max="4" width="8.375" style="0" customWidth="1"/>
    <col min="5" max="6" width="8.50390625" style="0" customWidth="1"/>
    <col min="7" max="7" width="11.375" style="0" customWidth="1"/>
    <col min="8" max="8" width="32.50390625" style="0" customWidth="1"/>
    <col min="9" max="9" width="32.375" style="0" customWidth="1"/>
    <col min="10" max="10" width="10.50390625" style="0" customWidth="1"/>
  </cols>
  <sheetData>
    <row r="1" spans="1:9" s="60" customFormat="1" ht="21" thickBot="1">
      <c r="A1" s="432" t="s">
        <v>217</v>
      </c>
      <c r="B1" s="432"/>
      <c r="C1" s="432"/>
      <c r="D1" s="432"/>
      <c r="E1" s="432"/>
      <c r="F1" s="432"/>
      <c r="G1" s="432"/>
      <c r="H1" s="432"/>
      <c r="I1" s="432"/>
    </row>
    <row r="2" s="60" customFormat="1" ht="9.75" customHeight="1" thickTop="1">
      <c r="A2" s="70"/>
    </row>
    <row r="3" spans="1:9" s="60" customFormat="1" ht="15">
      <c r="A3" s="433" t="s">
        <v>160</v>
      </c>
      <c r="B3" s="433"/>
      <c r="C3" s="433"/>
      <c r="D3" s="433"/>
      <c r="E3" s="433"/>
      <c r="F3" s="433"/>
      <c r="G3" s="433"/>
      <c r="H3" s="433"/>
      <c r="I3" s="433"/>
    </row>
    <row r="4" spans="1:9" s="60" customFormat="1" ht="12" customHeight="1">
      <c r="A4" s="434" t="s">
        <v>206</v>
      </c>
      <c r="B4" s="434"/>
      <c r="C4" s="434"/>
      <c r="D4" s="434"/>
      <c r="E4" s="434"/>
      <c r="F4" s="434"/>
      <c r="G4" s="434"/>
      <c r="H4" s="434"/>
      <c r="I4" s="434"/>
    </row>
    <row r="5" spans="1:10" s="60" customFormat="1" ht="12" customHeight="1">
      <c r="A5" s="108"/>
      <c r="B5" s="433" t="s">
        <v>205</v>
      </c>
      <c r="C5" s="433"/>
      <c r="D5" s="433"/>
      <c r="E5" s="433"/>
      <c r="F5" s="433"/>
      <c r="G5" s="433"/>
      <c r="H5" s="433"/>
      <c r="I5" s="433"/>
      <c r="J5" s="433"/>
    </row>
    <row r="6" spans="1:10" s="60" customFormat="1" ht="12" customHeight="1">
      <c r="A6" s="108"/>
      <c r="B6" s="434" t="s">
        <v>207</v>
      </c>
      <c r="C6" s="434"/>
      <c r="D6" s="434"/>
      <c r="E6" s="434"/>
      <c r="F6" s="434"/>
      <c r="G6" s="434"/>
      <c r="H6" s="434"/>
      <c r="I6" s="434"/>
      <c r="J6" s="434"/>
    </row>
    <row r="7" spans="1:9" s="60" customFormat="1" ht="12" customHeight="1">
      <c r="A7" s="108"/>
      <c r="B7" s="119"/>
      <c r="C7" s="116"/>
      <c r="D7" s="116"/>
      <c r="E7" s="116"/>
      <c r="F7" s="116"/>
      <c r="G7" s="116"/>
      <c r="H7" s="116"/>
      <c r="I7" s="116"/>
    </row>
    <row r="8" spans="1:9" s="60" customFormat="1" ht="12" customHeight="1">
      <c r="A8" s="108"/>
      <c r="B8" s="115" t="s">
        <v>216</v>
      </c>
      <c r="C8" s="116"/>
      <c r="D8" s="116"/>
      <c r="E8" s="116"/>
      <c r="F8" s="116"/>
      <c r="G8" s="116"/>
      <c r="H8" s="116"/>
      <c r="I8" s="116"/>
    </row>
    <row r="9" spans="1:9" s="60" customFormat="1" ht="12" customHeight="1">
      <c r="A9" s="108"/>
      <c r="B9" s="117"/>
      <c r="C9" s="118" t="s">
        <v>201</v>
      </c>
      <c r="D9" s="116"/>
      <c r="E9" s="120" t="s">
        <v>202</v>
      </c>
      <c r="F9" s="116"/>
      <c r="H9" s="116"/>
      <c r="I9" s="116"/>
    </row>
    <row r="10" spans="1:9" s="60" customFormat="1" ht="12" customHeight="1">
      <c r="A10" s="108"/>
      <c r="B10" s="121"/>
      <c r="C10" s="121"/>
      <c r="D10" s="121"/>
      <c r="E10" s="121"/>
      <c r="F10" s="121"/>
      <c r="G10" s="121"/>
      <c r="H10" s="121"/>
      <c r="I10" s="121"/>
    </row>
    <row r="11" spans="1:9" s="60" customFormat="1" ht="12" customHeight="1">
      <c r="A11" s="108"/>
      <c r="B11" s="115" t="s">
        <v>203</v>
      </c>
      <c r="C11" s="115"/>
      <c r="D11" s="115"/>
      <c r="E11" s="115"/>
      <c r="F11" s="115"/>
      <c r="G11" s="115"/>
      <c r="H11" s="115"/>
      <c r="I11" s="115"/>
    </row>
    <row r="12" spans="1:9" s="60" customFormat="1" ht="12" customHeight="1">
      <c r="A12" s="108"/>
      <c r="B12" s="400" t="s">
        <v>204</v>
      </c>
      <c r="C12" s="400"/>
      <c r="D12" s="400"/>
      <c r="E12" s="400"/>
      <c r="F12" s="400"/>
      <c r="G12" s="400"/>
      <c r="H12" s="400"/>
      <c r="I12" s="400"/>
    </row>
    <row r="13" s="60" customFormat="1" ht="12.75">
      <c r="I13" s="71" t="s">
        <v>4</v>
      </c>
    </row>
    <row r="14" spans="1:9" s="60" customFormat="1" ht="12.75">
      <c r="A14" s="417" t="s">
        <v>23</v>
      </c>
      <c r="B14" s="417"/>
      <c r="C14" s="417" t="s">
        <v>1</v>
      </c>
      <c r="D14" s="417" t="s">
        <v>175</v>
      </c>
      <c r="E14" s="417" t="s">
        <v>176</v>
      </c>
      <c r="F14" s="417" t="s">
        <v>177</v>
      </c>
      <c r="G14" s="417"/>
      <c r="H14" s="417" t="s">
        <v>208</v>
      </c>
      <c r="I14" s="417"/>
    </row>
    <row r="15" spans="1:9" s="60" customFormat="1" ht="27" customHeight="1">
      <c r="A15" s="417"/>
      <c r="B15" s="417"/>
      <c r="C15" s="417"/>
      <c r="D15" s="417"/>
      <c r="E15" s="417"/>
      <c r="F15" s="72" t="s">
        <v>24</v>
      </c>
      <c r="G15" s="72" t="s">
        <v>36</v>
      </c>
      <c r="H15" s="417"/>
      <c r="I15" s="417"/>
    </row>
    <row r="16" spans="1:9" s="60" customFormat="1" ht="13.5" thickBot="1">
      <c r="A16" s="415">
        <v>1</v>
      </c>
      <c r="B16" s="415"/>
      <c r="C16" s="73">
        <v>2</v>
      </c>
      <c r="D16" s="73">
        <v>3</v>
      </c>
      <c r="E16" s="73">
        <v>4</v>
      </c>
      <c r="F16" s="73">
        <v>5</v>
      </c>
      <c r="G16" s="73">
        <v>6</v>
      </c>
      <c r="H16" s="416">
        <v>7</v>
      </c>
      <c r="I16" s="416"/>
    </row>
    <row r="17" spans="2:9" s="37" customFormat="1" ht="13.5" thickTop="1">
      <c r="B17" s="36">
        <v>1111120</v>
      </c>
      <c r="C17" s="36" t="s">
        <v>104</v>
      </c>
      <c r="D17" s="44">
        <f>D18+D53</f>
        <v>33822.945</v>
      </c>
      <c r="E17" s="44">
        <f>E18+E53</f>
        <v>46438.799999999996</v>
      </c>
      <c r="F17" s="44">
        <f>F18+F53</f>
        <v>40908.9</v>
      </c>
      <c r="G17" s="44">
        <f>G18+G53</f>
        <v>11807.2</v>
      </c>
      <c r="H17" s="402"/>
      <c r="I17" s="402"/>
    </row>
    <row r="18" spans="1:9" ht="12.75" customHeight="1">
      <c r="A18" s="6"/>
      <c r="B18" s="27">
        <v>2000</v>
      </c>
      <c r="C18" s="28" t="s">
        <v>37</v>
      </c>
      <c r="D18" s="33">
        <f>D19+D24+D41+D44+D48+D52</f>
        <v>29865.86</v>
      </c>
      <c r="E18" s="33">
        <f>E19+E24+E41+E44+E48+E52</f>
        <v>38826.799999999996</v>
      </c>
      <c r="F18" s="33">
        <f>F19+F24+F41+F44+F48+F52</f>
        <v>40908.9</v>
      </c>
      <c r="G18" s="33">
        <f>G19+G24+G41+G44+G48+G52</f>
        <v>4807.2</v>
      </c>
      <c r="H18" s="402"/>
      <c r="I18" s="402"/>
    </row>
    <row r="19" spans="1:9" ht="12.75" customHeight="1">
      <c r="A19" s="6"/>
      <c r="B19" s="29">
        <v>2100</v>
      </c>
      <c r="C19" s="30" t="s">
        <v>38</v>
      </c>
      <c r="D19" s="35">
        <f>D20+D23</f>
        <v>12651.170000000002</v>
      </c>
      <c r="E19" s="35">
        <f>E20+E23</f>
        <v>18958.2</v>
      </c>
      <c r="F19" s="35">
        <f>F20+F23</f>
        <v>19519.9</v>
      </c>
      <c r="G19" s="35">
        <f>G20+G23</f>
        <v>0</v>
      </c>
      <c r="H19" s="402"/>
      <c r="I19" s="402"/>
    </row>
    <row r="20" spans="1:9" ht="12.75" customHeight="1">
      <c r="A20" s="6"/>
      <c r="B20" s="29">
        <v>2110</v>
      </c>
      <c r="C20" s="30" t="s">
        <v>39</v>
      </c>
      <c r="D20" s="35">
        <f>D21+D22</f>
        <v>10418.460000000001</v>
      </c>
      <c r="E20" s="35">
        <f>E21+E22</f>
        <v>15546.1</v>
      </c>
      <c r="F20" s="35">
        <f>F21+F22</f>
        <v>15999.9</v>
      </c>
      <c r="G20" s="35">
        <f>G21+G22</f>
        <v>0</v>
      </c>
      <c r="H20" s="402"/>
      <c r="I20" s="402"/>
    </row>
    <row r="21" spans="1:9" ht="12.75" customHeight="1">
      <c r="A21" s="6"/>
      <c r="B21" s="29">
        <v>2111</v>
      </c>
      <c r="C21" s="30" t="s">
        <v>42</v>
      </c>
      <c r="D21" s="34">
        <f>'2019-3 СВОД'!D18</f>
        <v>10418.460000000001</v>
      </c>
      <c r="E21" s="34">
        <f>'2019-3 СВОД'!E18</f>
        <v>15546.1</v>
      </c>
      <c r="F21" s="34">
        <f>'2019-3 СВОД'!F18</f>
        <v>15999.9</v>
      </c>
      <c r="G21" s="34">
        <f>'2019-3 СВОД'!G18</f>
        <v>0</v>
      </c>
      <c r="H21" s="402"/>
      <c r="I21" s="402"/>
    </row>
    <row r="22" spans="1:9" ht="12.75" customHeight="1" hidden="1">
      <c r="A22" s="6"/>
      <c r="B22" s="29">
        <v>2112</v>
      </c>
      <c r="C22" s="30" t="s">
        <v>43</v>
      </c>
      <c r="D22" s="34">
        <f>'2019-3 СВОД'!D19</f>
        <v>0</v>
      </c>
      <c r="E22" s="34">
        <f>'2019-3 СВОД'!E19</f>
        <v>0</v>
      </c>
      <c r="F22" s="34">
        <f>'2019-3 СВОД'!F19</f>
        <v>0</v>
      </c>
      <c r="G22" s="34">
        <f>'2019-3 СВОД'!G19</f>
        <v>0</v>
      </c>
      <c r="H22" s="402"/>
      <c r="I22" s="402"/>
    </row>
    <row r="23" spans="1:9" ht="12.75" customHeight="1">
      <c r="A23" s="6"/>
      <c r="B23" s="29">
        <v>2120</v>
      </c>
      <c r="C23" s="30" t="s">
        <v>44</v>
      </c>
      <c r="D23" s="34">
        <f>'2019-3 СВОД'!D20</f>
        <v>2232.71</v>
      </c>
      <c r="E23" s="34">
        <f>'2019-3 СВОД'!E20</f>
        <v>3412.1000000000004</v>
      </c>
      <c r="F23" s="34">
        <f>'2019-3 СВОД'!F20</f>
        <v>3520</v>
      </c>
      <c r="G23" s="34">
        <f>'2019-3 СВОД'!G20</f>
        <v>0</v>
      </c>
      <c r="H23" s="402"/>
      <c r="I23" s="402"/>
    </row>
    <row r="24" spans="1:9" ht="12.75" customHeight="1">
      <c r="A24" s="6"/>
      <c r="B24" s="27">
        <v>2200</v>
      </c>
      <c r="C24" s="28" t="s">
        <v>45</v>
      </c>
      <c r="D24" s="33">
        <f>SUM(D25:D31)+D38</f>
        <v>16502.53</v>
      </c>
      <c r="E24" s="33">
        <f>SUM(E25:E31)+E38</f>
        <v>18872.399999999998</v>
      </c>
      <c r="F24" s="33">
        <f>SUM(F25:F31)+F38</f>
        <v>20390.5</v>
      </c>
      <c r="G24" s="33">
        <f>SUM(G25:G31)+G38</f>
        <v>4807.2</v>
      </c>
      <c r="H24" s="402"/>
      <c r="I24" s="402"/>
    </row>
    <row r="25" spans="1:9" ht="27" customHeight="1">
      <c r="A25" s="6"/>
      <c r="B25" s="29">
        <v>2210</v>
      </c>
      <c r="C25" s="30" t="s">
        <v>46</v>
      </c>
      <c r="D25" s="34">
        <f>'2019-3 СВОД'!D22</f>
        <v>4463.85</v>
      </c>
      <c r="E25" s="34">
        <f>'2019-3 СВОД'!E22</f>
        <v>2863.5</v>
      </c>
      <c r="F25" s="34">
        <f>'2019-3 СВОД'!F22</f>
        <v>1883.1000000000001</v>
      </c>
      <c r="G25" s="34">
        <f>'2019-3 СВОД'!G22</f>
        <v>729</v>
      </c>
      <c r="H25" s="402" t="s">
        <v>590</v>
      </c>
      <c r="I25" s="402"/>
    </row>
    <row r="26" spans="1:9" ht="12.75" customHeight="1">
      <c r="A26" s="6"/>
      <c r="B26" s="29">
        <v>2220</v>
      </c>
      <c r="C26" s="30" t="s">
        <v>47</v>
      </c>
      <c r="D26" s="34">
        <f>'2019-3 СВОД'!D23</f>
        <v>317.86</v>
      </c>
      <c r="E26" s="34">
        <f>'2019-3 СВОД'!E23</f>
        <v>400</v>
      </c>
      <c r="F26" s="34">
        <f>'2019-3 СВОД'!F23</f>
        <v>500</v>
      </c>
      <c r="G26" s="34">
        <f>'2019-3 СВОД'!G23</f>
        <v>400</v>
      </c>
      <c r="H26" s="402" t="s">
        <v>605</v>
      </c>
      <c r="I26" s="402"/>
    </row>
    <row r="27" spans="1:9" ht="12.75" customHeight="1">
      <c r="A27" s="6"/>
      <c r="B27" s="29">
        <v>2230</v>
      </c>
      <c r="C27" s="30" t="s">
        <v>48</v>
      </c>
      <c r="D27" s="34">
        <f>'2019-3 СВОД'!D24</f>
        <v>4521.42</v>
      </c>
      <c r="E27" s="34">
        <f>'2019-3 СВОД'!E24</f>
        <v>6848.7</v>
      </c>
      <c r="F27" s="34">
        <f>'2019-3 СВОД'!F24</f>
        <v>8337.8</v>
      </c>
      <c r="G27" s="34">
        <f>'2019-3 СВОД'!G24</f>
        <v>0</v>
      </c>
      <c r="H27" s="402"/>
      <c r="I27" s="402"/>
    </row>
    <row r="28" spans="1:9" ht="26.25" customHeight="1">
      <c r="A28" s="6"/>
      <c r="B28" s="29">
        <v>2240</v>
      </c>
      <c r="C28" s="30" t="s">
        <v>49</v>
      </c>
      <c r="D28" s="34">
        <f>'2019-3 СВОД'!D25</f>
        <v>2979.48</v>
      </c>
      <c r="E28" s="34">
        <f>'2019-3 СВОД'!E25</f>
        <v>3611.9</v>
      </c>
      <c r="F28" s="34">
        <f>'2019-3 СВОД'!F25</f>
        <v>3864.7000000000003</v>
      </c>
      <c r="G28" s="34">
        <f>'2019-3 СВОД'!G25</f>
        <v>2678.2</v>
      </c>
      <c r="H28" s="402" t="s">
        <v>617</v>
      </c>
      <c r="I28" s="402"/>
    </row>
    <row r="29" spans="1:9" ht="12.75">
      <c r="A29" s="6"/>
      <c r="B29" s="29">
        <v>2250</v>
      </c>
      <c r="C29" s="30" t="s">
        <v>50</v>
      </c>
      <c r="D29" s="34">
        <f>'2019-3 СВОД'!D26</f>
        <v>2848.37</v>
      </c>
      <c r="E29" s="34">
        <f>'2019-3 СВОД'!E26</f>
        <v>3220.2</v>
      </c>
      <c r="F29" s="34">
        <f>'2019-3 СВОД'!F26</f>
        <v>3700</v>
      </c>
      <c r="G29" s="34">
        <f>'2019-3 СВОД'!G26</f>
        <v>1000</v>
      </c>
      <c r="H29" s="402" t="s">
        <v>589</v>
      </c>
      <c r="I29" s="402"/>
    </row>
    <row r="30" spans="1:9" ht="12.75" customHeight="1" hidden="1">
      <c r="A30" s="6"/>
      <c r="B30" s="29">
        <v>2260</v>
      </c>
      <c r="C30" s="30" t="s">
        <v>51</v>
      </c>
      <c r="D30" s="34">
        <f>'2019-3 СВОД'!D27</f>
        <v>0</v>
      </c>
      <c r="E30" s="34">
        <f>'2019-3 СВОД'!E27</f>
        <v>0</v>
      </c>
      <c r="F30" s="34">
        <f>'2019-3 СВОД'!F27</f>
        <v>0</v>
      </c>
      <c r="G30" s="34">
        <f>'2019-3 СВОД'!G27</f>
        <v>0</v>
      </c>
      <c r="H30" s="402"/>
      <c r="I30" s="402"/>
    </row>
    <row r="31" spans="1:9" ht="12.75" customHeight="1">
      <c r="A31" s="6"/>
      <c r="B31" s="27">
        <v>2270</v>
      </c>
      <c r="C31" s="28" t="s">
        <v>52</v>
      </c>
      <c r="D31" s="33">
        <f>D32+D33+D34+D35+D36+D37</f>
        <v>1361.55</v>
      </c>
      <c r="E31" s="33">
        <f>E32+E33+E34+E35+E36+E37</f>
        <v>1885.3</v>
      </c>
      <c r="F31" s="33">
        <f>F32+F33+F34+F35+F36+F37</f>
        <v>2074.8999999999996</v>
      </c>
      <c r="G31" s="33">
        <f>G32+G33+G34+G35+G36+G37</f>
        <v>0</v>
      </c>
      <c r="H31" s="402"/>
      <c r="I31" s="402"/>
    </row>
    <row r="32" spans="1:9" ht="12.75" customHeight="1">
      <c r="A32" s="6"/>
      <c r="B32" s="29">
        <v>2271</v>
      </c>
      <c r="C32" s="30" t="s">
        <v>53</v>
      </c>
      <c r="D32" s="34">
        <f>'2019-3 СВОД'!D29</f>
        <v>708.16</v>
      </c>
      <c r="E32" s="34">
        <f>'2019-3 СВОД'!E29</f>
        <v>1008</v>
      </c>
      <c r="F32" s="34">
        <f>'2019-3 СВОД'!F29</f>
        <v>1258.5</v>
      </c>
      <c r="G32" s="34">
        <f>'2019-3 СВОД'!G29</f>
        <v>0</v>
      </c>
      <c r="H32" s="402"/>
      <c r="I32" s="402"/>
    </row>
    <row r="33" spans="1:9" ht="12.75" customHeight="1">
      <c r="A33" s="6"/>
      <c r="B33" s="29">
        <v>2272</v>
      </c>
      <c r="C33" s="30" t="s">
        <v>54</v>
      </c>
      <c r="D33" s="34">
        <f>'2019-3 СВОД'!D30</f>
        <v>82.02</v>
      </c>
      <c r="E33" s="34">
        <f>'2019-3 СВОД'!E30</f>
        <v>109.4</v>
      </c>
      <c r="F33" s="34">
        <f>'2019-3 СВОД'!F30</f>
        <v>135.6</v>
      </c>
      <c r="G33" s="34">
        <f>'2019-3 СВОД'!G30</f>
        <v>0</v>
      </c>
      <c r="H33" s="402"/>
      <c r="I33" s="402"/>
    </row>
    <row r="34" spans="1:9" ht="12.75" customHeight="1">
      <c r="A34" s="6"/>
      <c r="B34" s="29">
        <v>2273</v>
      </c>
      <c r="C34" s="30" t="s">
        <v>55</v>
      </c>
      <c r="D34" s="34">
        <f>'2019-3 СВОД'!D31</f>
        <v>535.37</v>
      </c>
      <c r="E34" s="34">
        <f>'2019-3 СВОД'!E31</f>
        <v>728.3</v>
      </c>
      <c r="F34" s="34">
        <f>'2019-3 СВОД'!F31</f>
        <v>680.8</v>
      </c>
      <c r="G34" s="34">
        <f>'2019-3 СВОД'!G31</f>
        <v>0</v>
      </c>
      <c r="H34" s="402"/>
      <c r="I34" s="402"/>
    </row>
    <row r="35" spans="1:9" ht="12.75" customHeight="1" hidden="1">
      <c r="A35" s="6"/>
      <c r="B35" s="29">
        <v>2274</v>
      </c>
      <c r="C35" s="30" t="s">
        <v>56</v>
      </c>
      <c r="D35" s="34">
        <f>'2019-3 СВОД'!D32</f>
        <v>0</v>
      </c>
      <c r="E35" s="34">
        <f>'2019-3 СВОД'!E32</f>
        <v>0</v>
      </c>
      <c r="F35" s="34">
        <f>'2019-3 СВОД'!F32</f>
        <v>0</v>
      </c>
      <c r="G35" s="34">
        <f>'2019-3 СВОД'!G32</f>
        <v>0</v>
      </c>
      <c r="H35" s="402"/>
      <c r="I35" s="402"/>
    </row>
    <row r="36" spans="1:9" ht="12.75" customHeight="1">
      <c r="A36" s="6"/>
      <c r="B36" s="29">
        <v>2275</v>
      </c>
      <c r="C36" s="30" t="s">
        <v>57</v>
      </c>
      <c r="D36" s="34">
        <f>'2019-3 СВОД'!D33</f>
        <v>36</v>
      </c>
      <c r="E36" s="34">
        <f>'2019-3 СВОД'!E33</f>
        <v>39.6</v>
      </c>
      <c r="F36" s="34">
        <f>'2019-3 СВОД'!F33</f>
        <v>0</v>
      </c>
      <c r="G36" s="34">
        <f>'2019-3 СВОД'!G33</f>
        <v>0</v>
      </c>
      <c r="H36" s="402"/>
      <c r="I36" s="402"/>
    </row>
    <row r="37" spans="1:9" ht="12.75" customHeight="1" hidden="1">
      <c r="A37" s="6"/>
      <c r="B37" s="31">
        <v>2276</v>
      </c>
      <c r="C37" s="32" t="s">
        <v>58</v>
      </c>
      <c r="D37" s="34">
        <f>'2019-3 СВОД'!D34</f>
        <v>0</v>
      </c>
      <c r="E37" s="34">
        <f>'2019-3 СВОД'!E34</f>
        <v>0</v>
      </c>
      <c r="F37" s="34">
        <f>'2019-3 СВОД'!F34</f>
        <v>0</v>
      </c>
      <c r="G37" s="34">
        <f>'2019-3 СВОД'!G34</f>
        <v>0</v>
      </c>
      <c r="H37" s="402"/>
      <c r="I37" s="402"/>
    </row>
    <row r="38" spans="1:9" ht="12.75">
      <c r="A38" s="6"/>
      <c r="B38" s="27">
        <v>2280</v>
      </c>
      <c r="C38" s="28" t="s">
        <v>59</v>
      </c>
      <c r="D38" s="33">
        <f>D39+D40</f>
        <v>10</v>
      </c>
      <c r="E38" s="33">
        <f>E39+E40</f>
        <v>42.8</v>
      </c>
      <c r="F38" s="33">
        <f>F39+F40</f>
        <v>30</v>
      </c>
      <c r="G38" s="33">
        <f>G39+G40</f>
        <v>0</v>
      </c>
      <c r="H38" s="402"/>
      <c r="I38" s="402"/>
    </row>
    <row r="39" spans="1:9" ht="12.75" hidden="1">
      <c r="A39" s="6"/>
      <c r="B39" s="29">
        <v>2281</v>
      </c>
      <c r="C39" s="30" t="s">
        <v>60</v>
      </c>
      <c r="D39" s="34">
        <f>'2019-3 СВОД'!D36</f>
        <v>0</v>
      </c>
      <c r="E39" s="34">
        <f>'2019-3 СВОД'!E36</f>
        <v>0</v>
      </c>
      <c r="F39" s="34">
        <f>'2019-3 СВОД'!F36</f>
        <v>0</v>
      </c>
      <c r="G39" s="34">
        <f>'2019-3 СВОД'!G36</f>
        <v>0</v>
      </c>
      <c r="H39" s="402"/>
      <c r="I39" s="402"/>
    </row>
    <row r="40" spans="1:9" ht="12.75">
      <c r="A40" s="6"/>
      <c r="B40" s="29">
        <v>2282</v>
      </c>
      <c r="C40" s="30" t="s">
        <v>61</v>
      </c>
      <c r="D40" s="34">
        <f>'2019-3 СВОД'!D37</f>
        <v>10</v>
      </c>
      <c r="E40" s="34">
        <f>'2019-3 СВОД'!E37</f>
        <v>42.8</v>
      </c>
      <c r="F40" s="34">
        <f>'2019-3 СВОД'!F37</f>
        <v>30</v>
      </c>
      <c r="G40" s="34">
        <f>'2019-3 СВОД'!G37</f>
        <v>0</v>
      </c>
      <c r="H40" s="402"/>
      <c r="I40" s="402"/>
    </row>
    <row r="41" spans="1:9" ht="12.75" customHeight="1" hidden="1">
      <c r="A41" s="6"/>
      <c r="B41" s="27">
        <v>2400</v>
      </c>
      <c r="C41" s="28" t="s">
        <v>62</v>
      </c>
      <c r="D41" s="34">
        <f>D42+D43</f>
        <v>0</v>
      </c>
      <c r="E41" s="34">
        <f>E42+E43</f>
        <v>0</v>
      </c>
      <c r="F41" s="34">
        <f>F42+F43</f>
        <v>0</v>
      </c>
      <c r="G41" s="34">
        <f>G42+G43</f>
        <v>0</v>
      </c>
      <c r="H41" s="402"/>
      <c r="I41" s="402"/>
    </row>
    <row r="42" spans="1:9" ht="12.75" customHeight="1" hidden="1">
      <c r="A42" s="6"/>
      <c r="B42" s="29">
        <v>2410</v>
      </c>
      <c r="C42" s="30" t="s">
        <v>63</v>
      </c>
      <c r="D42" s="34">
        <f>'2019-3 СВОД'!D39</f>
        <v>0</v>
      </c>
      <c r="E42" s="34">
        <f>'2019-3 СВОД'!E39</f>
        <v>0</v>
      </c>
      <c r="F42" s="34">
        <f>'2019-3 СВОД'!F39</f>
        <v>0</v>
      </c>
      <c r="G42" s="34">
        <f>'2019-3 СВОД'!G39</f>
        <v>0</v>
      </c>
      <c r="H42" s="402"/>
      <c r="I42" s="402"/>
    </row>
    <row r="43" spans="1:9" ht="12.75" customHeight="1" hidden="1">
      <c r="A43" s="6"/>
      <c r="B43" s="29">
        <v>2420</v>
      </c>
      <c r="C43" s="30" t="s">
        <v>64</v>
      </c>
      <c r="D43" s="34">
        <f>'2019-3 СВОД'!D40</f>
        <v>0</v>
      </c>
      <c r="E43" s="34">
        <f>'2019-3 СВОД'!E40</f>
        <v>0</v>
      </c>
      <c r="F43" s="34">
        <f>'2019-3 СВОД'!F40</f>
        <v>0</v>
      </c>
      <c r="G43" s="34">
        <f>'2019-3 СВОД'!G40</f>
        <v>0</v>
      </c>
      <c r="H43" s="402"/>
      <c r="I43" s="402"/>
    </row>
    <row r="44" spans="1:9" ht="12.75" customHeight="1" hidden="1">
      <c r="A44" s="6"/>
      <c r="B44" s="27">
        <v>2600</v>
      </c>
      <c r="C44" s="28" t="s">
        <v>65</v>
      </c>
      <c r="D44" s="33">
        <f>D45+D46+D47</f>
        <v>0</v>
      </c>
      <c r="E44" s="33">
        <f>E45+E46+E47</f>
        <v>0</v>
      </c>
      <c r="F44" s="33">
        <f>F45+F46+F47</f>
        <v>0</v>
      </c>
      <c r="G44" s="33">
        <f>G45+G46+G47</f>
        <v>0</v>
      </c>
      <c r="H44" s="402"/>
      <c r="I44" s="402"/>
    </row>
    <row r="45" spans="1:9" ht="12.75" hidden="1">
      <c r="A45" s="6"/>
      <c r="B45" s="29">
        <v>2610</v>
      </c>
      <c r="C45" s="30" t="s">
        <v>66</v>
      </c>
      <c r="D45" s="34">
        <f>'2019-3 СВОД'!D42</f>
        <v>0</v>
      </c>
      <c r="E45" s="34">
        <f>'2019-3 СВОД'!E42</f>
        <v>0</v>
      </c>
      <c r="F45" s="34">
        <f>'2019-3 СВОД'!F42</f>
        <v>0</v>
      </c>
      <c r="G45" s="34">
        <f>'2019-3 СВОД'!G42</f>
        <v>0</v>
      </c>
      <c r="H45" s="402"/>
      <c r="I45" s="402"/>
    </row>
    <row r="46" spans="1:9" ht="12.75" customHeight="1" hidden="1">
      <c r="A46" s="6"/>
      <c r="B46" s="29">
        <v>2620</v>
      </c>
      <c r="C46" s="30" t="s">
        <v>67</v>
      </c>
      <c r="D46" s="34">
        <f>'2019-3 СВОД'!D43</f>
        <v>0</v>
      </c>
      <c r="E46" s="34">
        <f>'2019-3 СВОД'!E43</f>
        <v>0</v>
      </c>
      <c r="F46" s="34">
        <f>'2019-3 СВОД'!F43</f>
        <v>0</v>
      </c>
      <c r="G46" s="34">
        <f>'2019-3 СВОД'!G43</f>
        <v>0</v>
      </c>
      <c r="H46" s="402"/>
      <c r="I46" s="402"/>
    </row>
    <row r="47" spans="1:9" ht="12.75" hidden="1">
      <c r="A47" s="6"/>
      <c r="B47" s="29">
        <v>2630</v>
      </c>
      <c r="C47" s="30" t="s">
        <v>68</v>
      </c>
      <c r="D47" s="34">
        <f>'2019-3 СВОД'!D44</f>
        <v>0</v>
      </c>
      <c r="E47" s="34">
        <f>'2019-3 СВОД'!E44</f>
        <v>0</v>
      </c>
      <c r="F47" s="34">
        <f>'2019-3 СВОД'!F44</f>
        <v>0</v>
      </c>
      <c r="G47" s="34">
        <f>'2019-3 СВОД'!G44</f>
        <v>0</v>
      </c>
      <c r="H47" s="402"/>
      <c r="I47" s="402"/>
    </row>
    <row r="48" spans="1:9" ht="12.75" customHeight="1">
      <c r="A48" s="6"/>
      <c r="B48" s="27">
        <v>2700</v>
      </c>
      <c r="C48" s="28" t="s">
        <v>69</v>
      </c>
      <c r="D48" s="33">
        <f>D49+D50+D51</f>
        <v>712.16</v>
      </c>
      <c r="E48" s="33">
        <f>E49+E50+E51</f>
        <v>996.1999999999999</v>
      </c>
      <c r="F48" s="33">
        <f>F49+F50+F51</f>
        <v>998.5</v>
      </c>
      <c r="G48" s="33">
        <f>G49+G50+G51</f>
        <v>0</v>
      </c>
      <c r="H48" s="402"/>
      <c r="I48" s="402"/>
    </row>
    <row r="49" spans="1:9" ht="12.75" customHeight="1" hidden="1">
      <c r="A49" s="6"/>
      <c r="B49" s="29">
        <v>2710</v>
      </c>
      <c r="C49" s="30" t="s">
        <v>70</v>
      </c>
      <c r="D49" s="34">
        <f>'2019-3 СВОД'!D46</f>
        <v>0</v>
      </c>
      <c r="E49" s="34">
        <f>'2019-3 СВОД'!E46</f>
        <v>0</v>
      </c>
      <c r="F49" s="34">
        <f>'2019-3 СВОД'!F46</f>
        <v>0</v>
      </c>
      <c r="G49" s="34">
        <f>'2019-3 СВОД'!G46</f>
        <v>0</v>
      </c>
      <c r="H49" s="402"/>
      <c r="I49" s="402"/>
    </row>
    <row r="50" spans="1:9" ht="12.75" customHeight="1">
      <c r="A50" s="6"/>
      <c r="B50" s="29">
        <v>2720</v>
      </c>
      <c r="C50" s="30" t="s">
        <v>71</v>
      </c>
      <c r="D50" s="34">
        <f>'2019-3 СВОД'!D47</f>
        <v>695.12</v>
      </c>
      <c r="E50" s="34">
        <f>'2019-3 СВОД'!E47</f>
        <v>957.4</v>
      </c>
      <c r="F50" s="34">
        <f>'2019-3 СВОД'!F47</f>
        <v>959.5</v>
      </c>
      <c r="G50" s="34">
        <f>'2019-3 СВОД'!G47</f>
        <v>0</v>
      </c>
      <c r="H50" s="402"/>
      <c r="I50" s="402"/>
    </row>
    <row r="51" spans="1:9" ht="12.75" customHeight="1">
      <c r="A51" s="6"/>
      <c r="B51" s="29">
        <v>2730</v>
      </c>
      <c r="C51" s="30" t="s">
        <v>72</v>
      </c>
      <c r="D51" s="34">
        <f>'2019-3 СВОД'!D48</f>
        <v>17.04</v>
      </c>
      <c r="E51" s="34">
        <f>'2019-3 СВОД'!E48</f>
        <v>38.8</v>
      </c>
      <c r="F51" s="34">
        <f>'2019-3 СВОД'!F48</f>
        <v>39</v>
      </c>
      <c r="G51" s="34">
        <f>'2019-3 СВОД'!G48</f>
        <v>0</v>
      </c>
      <c r="H51" s="402"/>
      <c r="I51" s="402"/>
    </row>
    <row r="52" spans="1:9" ht="12.75" customHeight="1" hidden="1">
      <c r="A52" s="6"/>
      <c r="B52" s="27">
        <v>2800</v>
      </c>
      <c r="C52" s="28" t="s">
        <v>73</v>
      </c>
      <c r="D52" s="34">
        <f>'2019-3 СВОД'!D49</f>
        <v>0</v>
      </c>
      <c r="E52" s="34">
        <f>'2019-3 СВОД'!E49</f>
        <v>0</v>
      </c>
      <c r="F52" s="34">
        <f>'2019-3 СВОД'!F49</f>
        <v>0</v>
      </c>
      <c r="G52" s="34">
        <f>'2019-3 СВОД'!G49</f>
        <v>0</v>
      </c>
      <c r="H52" s="402"/>
      <c r="I52" s="402"/>
    </row>
    <row r="53" spans="1:9" ht="12.75">
      <c r="A53" s="21"/>
      <c r="B53" s="27">
        <v>3000</v>
      </c>
      <c r="C53" s="28" t="s">
        <v>40</v>
      </c>
      <c r="D53" s="40">
        <f>D54+D68</f>
        <v>3957.085</v>
      </c>
      <c r="E53" s="40">
        <f>E54+E68</f>
        <v>7612</v>
      </c>
      <c r="F53" s="40">
        <f>F54+F68</f>
        <v>0</v>
      </c>
      <c r="G53" s="40">
        <f>G54+G68</f>
        <v>7000</v>
      </c>
      <c r="H53" s="403" t="s">
        <v>588</v>
      </c>
      <c r="I53" s="404"/>
    </row>
    <row r="54" spans="1:9" ht="12.75">
      <c r="A54" s="21"/>
      <c r="B54" s="27">
        <v>3100</v>
      </c>
      <c r="C54" s="28" t="s">
        <v>41</v>
      </c>
      <c r="D54" s="40">
        <f>D55+D56+D59+D62+D66+D67+D68</f>
        <v>3957.085</v>
      </c>
      <c r="E54" s="40">
        <f>E55+E56+E59+E62+E66+E67+E68</f>
        <v>7612</v>
      </c>
      <c r="F54" s="40">
        <f>F55+F56+F59+F62+F66+F67+F68</f>
        <v>0</v>
      </c>
      <c r="G54" s="40">
        <f>G55+G56+G59+G62+G66+G67+G68</f>
        <v>7000</v>
      </c>
      <c r="H54" s="405"/>
      <c r="I54" s="406"/>
    </row>
    <row r="55" spans="1:9" ht="12.75">
      <c r="A55" s="21"/>
      <c r="B55" s="29">
        <v>3110</v>
      </c>
      <c r="C55" s="30" t="s">
        <v>74</v>
      </c>
      <c r="D55" s="34">
        <f>'2019-3 СВОД'!D52</f>
        <v>3957.085</v>
      </c>
      <c r="E55" s="34">
        <f>'2019-3 СВОД'!E52</f>
        <v>7612</v>
      </c>
      <c r="F55" s="34">
        <f>'2019-3 СВОД'!F52</f>
        <v>0</v>
      </c>
      <c r="G55" s="34">
        <f>'2019-3 СВОД'!G52</f>
        <v>7000</v>
      </c>
      <c r="H55" s="407"/>
      <c r="I55" s="408"/>
    </row>
    <row r="56" spans="1:9" ht="12.75" hidden="1">
      <c r="A56" s="21"/>
      <c r="B56" s="29">
        <v>3120</v>
      </c>
      <c r="C56" s="30" t="s">
        <v>75</v>
      </c>
      <c r="D56" s="40">
        <f>D57+D58</f>
        <v>0</v>
      </c>
      <c r="E56" s="40">
        <f>E57+E58</f>
        <v>0</v>
      </c>
      <c r="F56" s="40">
        <f>F57+F58</f>
        <v>0</v>
      </c>
      <c r="G56" s="40">
        <f>G57+G58</f>
        <v>0</v>
      </c>
      <c r="H56" s="402"/>
      <c r="I56" s="402"/>
    </row>
    <row r="57" spans="1:9" ht="12.75" hidden="1">
      <c r="A57" s="21"/>
      <c r="B57" s="29">
        <v>3121</v>
      </c>
      <c r="C57" s="30" t="s">
        <v>76</v>
      </c>
      <c r="D57" s="34">
        <f>'2019-3 СВОД'!D54</f>
        <v>0</v>
      </c>
      <c r="E57" s="34">
        <f>'2019-3 СВОД'!E54</f>
        <v>0</v>
      </c>
      <c r="F57" s="34">
        <f>'2019-3 СВОД'!F54</f>
        <v>0</v>
      </c>
      <c r="G57" s="34">
        <f>'2019-3 СВОД'!G54</f>
        <v>0</v>
      </c>
      <c r="H57" s="402"/>
      <c r="I57" s="402"/>
    </row>
    <row r="58" spans="1:9" ht="12.75" hidden="1">
      <c r="A58" s="21"/>
      <c r="B58" s="29">
        <v>3122</v>
      </c>
      <c r="C58" s="30" t="s">
        <v>77</v>
      </c>
      <c r="D58" s="34">
        <f>'2019-3 СВОД'!D55</f>
        <v>0</v>
      </c>
      <c r="E58" s="34">
        <f>'2019-3 СВОД'!E55</f>
        <v>0</v>
      </c>
      <c r="F58" s="34">
        <f>'2019-3 СВОД'!F55</f>
        <v>0</v>
      </c>
      <c r="G58" s="34">
        <f>'2019-3 СВОД'!G55</f>
        <v>0</v>
      </c>
      <c r="H58" s="402"/>
      <c r="I58" s="402"/>
    </row>
    <row r="59" spans="1:9" ht="12.75" hidden="1">
      <c r="A59" s="21"/>
      <c r="B59" s="29">
        <v>3130</v>
      </c>
      <c r="C59" s="30" t="s">
        <v>78</v>
      </c>
      <c r="D59" s="40">
        <f>D60+D61</f>
        <v>0</v>
      </c>
      <c r="E59" s="40">
        <f>E60+E61</f>
        <v>0</v>
      </c>
      <c r="F59" s="40">
        <f>F60+F61</f>
        <v>0</v>
      </c>
      <c r="G59" s="40">
        <f>G60+G61</f>
        <v>0</v>
      </c>
      <c r="H59" s="402"/>
      <c r="I59" s="402"/>
    </row>
    <row r="60" spans="1:9" ht="12.75" hidden="1">
      <c r="A60" s="21"/>
      <c r="B60" s="29">
        <v>3131</v>
      </c>
      <c r="C60" s="30" t="s">
        <v>79</v>
      </c>
      <c r="D60" s="34">
        <f>'2019-3 СВОД'!D57</f>
        <v>0</v>
      </c>
      <c r="E60" s="34">
        <f>'2019-3 СВОД'!E57</f>
        <v>0</v>
      </c>
      <c r="F60" s="34">
        <f>'2019-3 СВОД'!F57</f>
        <v>0</v>
      </c>
      <c r="G60" s="34">
        <f>'2019-3 СВОД'!G57</f>
        <v>0</v>
      </c>
      <c r="H60" s="402"/>
      <c r="I60" s="402"/>
    </row>
    <row r="61" spans="1:9" ht="12.75" hidden="1">
      <c r="A61" s="21"/>
      <c r="B61" s="29">
        <v>3132</v>
      </c>
      <c r="C61" s="30" t="s">
        <v>80</v>
      </c>
      <c r="D61" s="34">
        <f>'2019-3 СВОД'!D58</f>
        <v>0</v>
      </c>
      <c r="E61" s="34">
        <f>'2019-3 СВОД'!E58</f>
        <v>0</v>
      </c>
      <c r="F61" s="34">
        <f>'2019-3 СВОД'!F58</f>
        <v>0</v>
      </c>
      <c r="G61" s="34">
        <f>'2019-3 СВОД'!G58</f>
        <v>0</v>
      </c>
      <c r="H61" s="402"/>
      <c r="I61" s="402"/>
    </row>
    <row r="62" spans="1:9" ht="12.75" hidden="1">
      <c r="A62" s="21"/>
      <c r="B62" s="29">
        <v>3140</v>
      </c>
      <c r="C62" s="30" t="s">
        <v>81</v>
      </c>
      <c r="D62" s="40">
        <f>D63+D64+D65</f>
        <v>0</v>
      </c>
      <c r="E62" s="40">
        <f>E63+E64+E65</f>
        <v>0</v>
      </c>
      <c r="F62" s="40">
        <f>F63+F64+F65</f>
        <v>0</v>
      </c>
      <c r="G62" s="40">
        <f>G63+G64+G65</f>
        <v>0</v>
      </c>
      <c r="H62" s="402"/>
      <c r="I62" s="402"/>
    </row>
    <row r="63" spans="1:9" ht="12.75" hidden="1">
      <c r="A63" s="21"/>
      <c r="B63" s="29">
        <v>3141</v>
      </c>
      <c r="C63" s="30" t="s">
        <v>82</v>
      </c>
      <c r="D63" s="34">
        <f>'2019-3 СВОД'!D60</f>
        <v>0</v>
      </c>
      <c r="E63" s="34">
        <f>'2019-3 СВОД'!E60</f>
        <v>0</v>
      </c>
      <c r="F63" s="34">
        <f>'2019-3 СВОД'!F60</f>
        <v>0</v>
      </c>
      <c r="G63" s="34">
        <f>'2019-3 СВОД'!G60</f>
        <v>0</v>
      </c>
      <c r="H63" s="402"/>
      <c r="I63" s="402"/>
    </row>
    <row r="64" spans="1:9" ht="12.75" hidden="1">
      <c r="A64" s="21"/>
      <c r="B64" s="29">
        <v>3142</v>
      </c>
      <c r="C64" s="30" t="s">
        <v>83</v>
      </c>
      <c r="D64" s="34">
        <f>'2019-3 СВОД'!D61</f>
        <v>0</v>
      </c>
      <c r="E64" s="34">
        <f>'2019-3 СВОД'!E61</f>
        <v>0</v>
      </c>
      <c r="F64" s="34">
        <f>'2019-3 СВОД'!F61</f>
        <v>0</v>
      </c>
      <c r="G64" s="34">
        <f>'2019-3 СВОД'!G61</f>
        <v>0</v>
      </c>
      <c r="H64" s="402"/>
      <c r="I64" s="402"/>
    </row>
    <row r="65" spans="1:9" ht="12.75" hidden="1">
      <c r="A65" s="21"/>
      <c r="B65" s="29">
        <v>3143</v>
      </c>
      <c r="C65" s="30" t="s">
        <v>84</v>
      </c>
      <c r="D65" s="34">
        <f>'2019-3 СВОД'!D62</f>
        <v>0</v>
      </c>
      <c r="E65" s="34">
        <f>'2019-3 СВОД'!E62</f>
        <v>0</v>
      </c>
      <c r="F65" s="34">
        <f>'2019-3 СВОД'!F62</f>
        <v>0</v>
      </c>
      <c r="G65" s="34">
        <f>'2019-3 СВОД'!G62</f>
        <v>0</v>
      </c>
      <c r="H65" s="402"/>
      <c r="I65" s="402"/>
    </row>
    <row r="66" spans="1:9" ht="12.75" hidden="1">
      <c r="A66" s="21"/>
      <c r="B66" s="29">
        <v>3150</v>
      </c>
      <c r="C66" s="30" t="s">
        <v>85</v>
      </c>
      <c r="D66" s="34">
        <f>'2019-3 СВОД'!D63</f>
        <v>0</v>
      </c>
      <c r="E66" s="34">
        <f>'2019-3 СВОД'!E63</f>
        <v>0</v>
      </c>
      <c r="F66" s="34">
        <f>'2019-3 СВОД'!F63</f>
        <v>0</v>
      </c>
      <c r="G66" s="34">
        <f>'2019-3 СВОД'!G63</f>
        <v>0</v>
      </c>
      <c r="H66" s="402"/>
      <c r="I66" s="402"/>
    </row>
    <row r="67" spans="1:9" ht="12.75" hidden="1">
      <c r="A67" s="21"/>
      <c r="B67" s="29">
        <v>3160</v>
      </c>
      <c r="C67" s="30" t="s">
        <v>86</v>
      </c>
      <c r="D67" s="34">
        <f>'2019-3 СВОД'!D64</f>
        <v>0</v>
      </c>
      <c r="E67" s="34">
        <f>'2019-3 СВОД'!E64</f>
        <v>0</v>
      </c>
      <c r="F67" s="34">
        <f>'2019-3 СВОД'!F64</f>
        <v>0</v>
      </c>
      <c r="G67" s="34">
        <f>'2019-3 СВОД'!G64</f>
        <v>0</v>
      </c>
      <c r="H67" s="402"/>
      <c r="I67" s="402"/>
    </row>
    <row r="68" spans="1:9" ht="12.75" hidden="1">
      <c r="A68" s="21"/>
      <c r="B68" s="27">
        <v>3200</v>
      </c>
      <c r="C68" s="28" t="s">
        <v>87</v>
      </c>
      <c r="D68" s="40">
        <f>D69+D70+D71+D72</f>
        <v>0</v>
      </c>
      <c r="E68" s="40">
        <f>E69+E70+E71+E72</f>
        <v>0</v>
      </c>
      <c r="F68" s="40">
        <f>F69+F70+F71+F72</f>
        <v>0</v>
      </c>
      <c r="G68" s="40">
        <f>G69+G70+G71+G72</f>
        <v>0</v>
      </c>
      <c r="H68" s="402"/>
      <c r="I68" s="402"/>
    </row>
    <row r="69" spans="1:9" ht="12.75" hidden="1">
      <c r="A69" s="21"/>
      <c r="B69" s="29">
        <v>3210</v>
      </c>
      <c r="C69" s="30" t="s">
        <v>88</v>
      </c>
      <c r="D69" s="34">
        <f>'2019-3 СВОД'!D66</f>
        <v>0</v>
      </c>
      <c r="E69" s="34">
        <f>'2019-3 СВОД'!E66</f>
        <v>0</v>
      </c>
      <c r="F69" s="34">
        <f>'2019-3 СВОД'!F66</f>
        <v>0</v>
      </c>
      <c r="G69" s="34">
        <f>'2019-3 СВОД'!G66</f>
        <v>0</v>
      </c>
      <c r="H69" s="402"/>
      <c r="I69" s="402"/>
    </row>
    <row r="70" spans="1:9" ht="12.75" hidden="1">
      <c r="A70" s="21"/>
      <c r="B70" s="29">
        <v>3220</v>
      </c>
      <c r="C70" s="30" t="s">
        <v>89</v>
      </c>
      <c r="D70" s="34">
        <f>'2019-3 СВОД'!D67</f>
        <v>0</v>
      </c>
      <c r="E70" s="34">
        <f>'2019-3 СВОД'!E67</f>
        <v>0</v>
      </c>
      <c r="F70" s="34">
        <f>'2019-3 СВОД'!F67</f>
        <v>0</v>
      </c>
      <c r="G70" s="34">
        <f>'2019-3 СВОД'!G67</f>
        <v>0</v>
      </c>
      <c r="H70" s="402"/>
      <c r="I70" s="402"/>
    </row>
    <row r="71" spans="1:9" ht="12.75" hidden="1">
      <c r="A71" s="21"/>
      <c r="B71" s="29">
        <v>3230</v>
      </c>
      <c r="C71" s="30" t="s">
        <v>90</v>
      </c>
      <c r="D71" s="34">
        <f>'2019-3 СВОД'!D68</f>
        <v>0</v>
      </c>
      <c r="E71" s="34">
        <f>'2019-3 СВОД'!E68</f>
        <v>0</v>
      </c>
      <c r="F71" s="34">
        <f>'2019-3 СВОД'!F68</f>
        <v>0</v>
      </c>
      <c r="G71" s="34">
        <f>'2019-3 СВОД'!G68</f>
        <v>0</v>
      </c>
      <c r="H71" s="402"/>
      <c r="I71" s="402"/>
    </row>
    <row r="72" spans="1:9" ht="13.5" customHeight="1" hidden="1">
      <c r="A72" s="21"/>
      <c r="B72" s="29">
        <v>3240</v>
      </c>
      <c r="C72" s="30" t="s">
        <v>91</v>
      </c>
      <c r="D72" s="34">
        <f>'2019-3 СВОД'!D69</f>
        <v>0</v>
      </c>
      <c r="E72" s="34">
        <f>'2019-3 СВОД'!E69</f>
        <v>0</v>
      </c>
      <c r="F72" s="34">
        <f>'2019-3 СВОД'!F69</f>
        <v>0</v>
      </c>
      <c r="G72" s="34">
        <f>'2019-3 СВОД'!G69</f>
        <v>0</v>
      </c>
      <c r="H72" s="402"/>
      <c r="I72" s="402"/>
    </row>
    <row r="73" spans="1:9" s="19" customFormat="1" ht="13.5" customHeight="1">
      <c r="A73" s="7"/>
      <c r="B73" s="7"/>
      <c r="C73" s="20" t="s">
        <v>3</v>
      </c>
      <c r="D73" s="34">
        <f>D18+D53</f>
        <v>33822.945</v>
      </c>
      <c r="E73" s="34">
        <f>E18+E53</f>
        <v>46438.799999999996</v>
      </c>
      <c r="F73" s="34">
        <f>F18+F53</f>
        <v>40908.9</v>
      </c>
      <c r="G73" s="34">
        <f>G18+G53</f>
        <v>11807.2</v>
      </c>
      <c r="H73" s="402"/>
      <c r="I73" s="402"/>
    </row>
    <row r="74" spans="1:8" ht="15">
      <c r="A74" s="115" t="s">
        <v>209</v>
      </c>
      <c r="B74" s="115" t="s">
        <v>209</v>
      </c>
      <c r="C74" s="115"/>
      <c r="D74" s="115"/>
      <c r="E74" s="115"/>
      <c r="F74" s="115"/>
      <c r="G74" s="115"/>
      <c r="H74" s="121"/>
    </row>
    <row r="75" spans="1:9" ht="15" customHeight="1">
      <c r="A75" s="444" t="s">
        <v>25</v>
      </c>
      <c r="B75" s="444"/>
      <c r="C75" s="444"/>
      <c r="D75" s="444"/>
      <c r="E75" s="444"/>
      <c r="F75" s="444"/>
      <c r="G75" s="444"/>
      <c r="H75" s="444"/>
      <c r="I75" s="444"/>
    </row>
    <row r="76" spans="1:9" ht="30" customHeight="1">
      <c r="A76" s="14" t="s">
        <v>20</v>
      </c>
      <c r="B76" s="8" t="s">
        <v>0</v>
      </c>
      <c r="C76" s="14" t="s">
        <v>1</v>
      </c>
      <c r="D76" s="14" t="s">
        <v>14</v>
      </c>
      <c r="E76" s="441" t="s">
        <v>15</v>
      </c>
      <c r="F76" s="441"/>
      <c r="G76" s="441"/>
      <c r="H76" s="14" t="s">
        <v>214</v>
      </c>
      <c r="I76" s="14" t="s">
        <v>215</v>
      </c>
    </row>
    <row r="77" spans="1:9" ht="13.5" thickBot="1">
      <c r="A77" s="17">
        <v>1</v>
      </c>
      <c r="B77" s="17">
        <v>1</v>
      </c>
      <c r="C77" s="38">
        <v>2</v>
      </c>
      <c r="D77" s="38">
        <v>3</v>
      </c>
      <c r="E77" s="427">
        <v>4</v>
      </c>
      <c r="F77" s="427"/>
      <c r="G77" s="427"/>
      <c r="H77" s="38">
        <v>5</v>
      </c>
      <c r="I77" s="38">
        <v>6</v>
      </c>
    </row>
    <row r="78" spans="1:9" s="55" customFormat="1" ht="13.5" thickTop="1">
      <c r="A78" s="54"/>
      <c r="B78" s="56">
        <v>1111120</v>
      </c>
      <c r="C78" s="36" t="s">
        <v>104</v>
      </c>
      <c r="D78" s="57"/>
      <c r="E78" s="451"/>
      <c r="F78" s="451"/>
      <c r="G78" s="451"/>
      <c r="H78" s="57"/>
      <c r="I78" s="57"/>
    </row>
    <row r="79" spans="1:9" s="48" customFormat="1" ht="28.5" customHeight="1">
      <c r="A79" s="68"/>
      <c r="B79" s="69"/>
      <c r="C79" s="455" t="s">
        <v>154</v>
      </c>
      <c r="D79" s="456"/>
      <c r="E79" s="456"/>
      <c r="F79" s="456"/>
      <c r="G79" s="456"/>
      <c r="H79" s="456"/>
      <c r="I79" s="457"/>
    </row>
    <row r="80" spans="1:9" s="60" customFormat="1" ht="12.75">
      <c r="A80" s="58"/>
      <c r="B80" s="39"/>
      <c r="C80" s="61" t="s">
        <v>126</v>
      </c>
      <c r="D80" s="62"/>
      <c r="E80" s="427"/>
      <c r="F80" s="427"/>
      <c r="G80" s="427"/>
      <c r="H80" s="59"/>
      <c r="I80" s="59"/>
    </row>
    <row r="81" spans="1:9" s="60" customFormat="1" ht="12.75">
      <c r="A81" s="58"/>
      <c r="B81" s="39"/>
      <c r="C81" s="63" t="s">
        <v>127</v>
      </c>
      <c r="D81" s="53" t="s">
        <v>124</v>
      </c>
      <c r="E81" s="452" t="s">
        <v>128</v>
      </c>
      <c r="F81" s="453"/>
      <c r="G81" s="454"/>
      <c r="H81" s="59">
        <v>1</v>
      </c>
      <c r="I81" s="59">
        <v>1</v>
      </c>
    </row>
    <row r="82" spans="1:9" s="60" customFormat="1" ht="12.75">
      <c r="A82" s="58"/>
      <c r="B82" s="39"/>
      <c r="C82" s="63" t="s">
        <v>129</v>
      </c>
      <c r="D82" s="53" t="s">
        <v>124</v>
      </c>
      <c r="E82" s="452" t="s">
        <v>130</v>
      </c>
      <c r="F82" s="453"/>
      <c r="G82" s="454"/>
      <c r="H82" s="59">
        <v>85.75</v>
      </c>
      <c r="I82" s="59">
        <f>H82</f>
        <v>85.75</v>
      </c>
    </row>
    <row r="83" spans="1:9" s="60" customFormat="1" ht="26.25">
      <c r="A83" s="58"/>
      <c r="B83" s="39"/>
      <c r="C83" s="63" t="s">
        <v>131</v>
      </c>
      <c r="D83" s="53" t="s">
        <v>124</v>
      </c>
      <c r="E83" s="452" t="s">
        <v>130</v>
      </c>
      <c r="F83" s="453"/>
      <c r="G83" s="454"/>
      <c r="H83" s="59">
        <v>17.5</v>
      </c>
      <c r="I83" s="59">
        <f aca="true" t="shared" si="0" ref="I83:I93">H83</f>
        <v>17.5</v>
      </c>
    </row>
    <row r="84" spans="1:9" s="60" customFormat="1" ht="26.25">
      <c r="A84" s="58"/>
      <c r="B84" s="39"/>
      <c r="C84" s="63" t="s">
        <v>132</v>
      </c>
      <c r="D84" s="53" t="s">
        <v>124</v>
      </c>
      <c r="E84" s="452" t="s">
        <v>130</v>
      </c>
      <c r="F84" s="453"/>
      <c r="G84" s="454"/>
      <c r="H84" s="59">
        <v>23</v>
      </c>
      <c r="I84" s="59">
        <f t="shared" si="0"/>
        <v>23</v>
      </c>
    </row>
    <row r="85" spans="1:9" s="60" customFormat="1" ht="12.75">
      <c r="A85" s="58"/>
      <c r="B85" s="39"/>
      <c r="C85" s="63" t="s">
        <v>133</v>
      </c>
      <c r="D85" s="53" t="s">
        <v>124</v>
      </c>
      <c r="E85" s="452" t="s">
        <v>130</v>
      </c>
      <c r="F85" s="453"/>
      <c r="G85" s="454"/>
      <c r="H85" s="59">
        <v>54.5</v>
      </c>
      <c r="I85" s="59">
        <f t="shared" si="0"/>
        <v>54.5</v>
      </c>
    </row>
    <row r="86" spans="1:9" s="60" customFormat="1" ht="12.75">
      <c r="A86" s="58"/>
      <c r="B86" s="39"/>
      <c r="C86" s="63" t="s">
        <v>134</v>
      </c>
      <c r="D86" s="53" t="s">
        <v>124</v>
      </c>
      <c r="E86" s="452" t="s">
        <v>130</v>
      </c>
      <c r="F86" s="453"/>
      <c r="G86" s="454"/>
      <c r="H86" s="59">
        <v>56.75</v>
      </c>
      <c r="I86" s="59">
        <f t="shared" si="0"/>
        <v>56.75</v>
      </c>
    </row>
    <row r="87" spans="1:9" s="60" customFormat="1" ht="12.75">
      <c r="A87" s="58"/>
      <c r="B87" s="39"/>
      <c r="C87" s="63" t="s">
        <v>135</v>
      </c>
      <c r="D87" s="53" t="s">
        <v>124</v>
      </c>
      <c r="E87" s="452" t="s">
        <v>130</v>
      </c>
      <c r="F87" s="453"/>
      <c r="G87" s="454"/>
      <c r="H87" s="59">
        <f>H86+H85+H84+H82</f>
        <v>220</v>
      </c>
      <c r="I87" s="59">
        <f t="shared" si="0"/>
        <v>220</v>
      </c>
    </row>
    <row r="88" spans="1:9" s="60" customFormat="1" ht="12.75">
      <c r="A88" s="58"/>
      <c r="B88" s="39"/>
      <c r="C88" s="61" t="s">
        <v>136</v>
      </c>
      <c r="D88" s="62" t="s">
        <v>125</v>
      </c>
      <c r="E88" s="427"/>
      <c r="F88" s="427"/>
      <c r="G88" s="427"/>
      <c r="H88" s="59"/>
      <c r="I88" s="59"/>
    </row>
    <row r="89" spans="1:10" s="60" customFormat="1" ht="12.75">
      <c r="A89" s="58"/>
      <c r="B89" s="39"/>
      <c r="C89" s="63" t="s">
        <v>137</v>
      </c>
      <c r="D89" s="53" t="s">
        <v>138</v>
      </c>
      <c r="E89" s="452" t="s">
        <v>128</v>
      </c>
      <c r="F89" s="453"/>
      <c r="G89" s="454"/>
      <c r="H89" s="59">
        <v>360</v>
      </c>
      <c r="I89" s="59">
        <f t="shared" si="0"/>
        <v>360</v>
      </c>
      <c r="J89" s="60">
        <f>330*8/12+400*4/12</f>
        <v>353.33333333333337</v>
      </c>
    </row>
    <row r="90" spans="1:9" s="60" customFormat="1" ht="12.75">
      <c r="A90" s="58"/>
      <c r="B90" s="39"/>
      <c r="C90" s="63" t="s">
        <v>139</v>
      </c>
      <c r="D90" s="53" t="s">
        <v>138</v>
      </c>
      <c r="E90" s="452" t="s">
        <v>128</v>
      </c>
      <c r="F90" s="453"/>
      <c r="G90" s="454"/>
      <c r="H90" s="59">
        <v>107</v>
      </c>
      <c r="I90" s="59">
        <f t="shared" si="0"/>
        <v>107</v>
      </c>
    </row>
    <row r="91" spans="1:9" s="60" customFormat="1" ht="12.75">
      <c r="A91" s="58"/>
      <c r="B91" s="39"/>
      <c r="C91" s="63" t="s">
        <v>140</v>
      </c>
      <c r="D91" s="53" t="s">
        <v>138</v>
      </c>
      <c r="E91" s="452" t="s">
        <v>128</v>
      </c>
      <c r="F91" s="453"/>
      <c r="G91" s="454"/>
      <c r="H91" s="59">
        <v>9</v>
      </c>
      <c r="I91" s="59">
        <f t="shared" si="0"/>
        <v>9</v>
      </c>
    </row>
    <row r="92" spans="1:9" s="60" customFormat="1" ht="12.75">
      <c r="A92" s="58"/>
      <c r="B92" s="39"/>
      <c r="C92" s="63" t="s">
        <v>141</v>
      </c>
      <c r="D92" s="53" t="s">
        <v>138</v>
      </c>
      <c r="E92" s="452" t="s">
        <v>128</v>
      </c>
      <c r="F92" s="453"/>
      <c r="G92" s="454"/>
      <c r="H92" s="59">
        <v>50</v>
      </c>
      <c r="I92" s="59">
        <f t="shared" si="0"/>
        <v>50</v>
      </c>
    </row>
    <row r="93" spans="1:9" s="60" customFormat="1" ht="12.75">
      <c r="A93" s="58"/>
      <c r="B93" s="39"/>
      <c r="C93" s="63" t="s">
        <v>142</v>
      </c>
      <c r="D93" s="53" t="s">
        <v>138</v>
      </c>
      <c r="E93" s="452" t="s">
        <v>128</v>
      </c>
      <c r="F93" s="453"/>
      <c r="G93" s="454"/>
      <c r="H93" s="59">
        <v>33</v>
      </c>
      <c r="I93" s="59">
        <f t="shared" si="0"/>
        <v>33</v>
      </c>
    </row>
    <row r="94" spans="1:9" s="60" customFormat="1" ht="12.75">
      <c r="A94" s="58"/>
      <c r="B94" s="39"/>
      <c r="C94" s="61" t="s">
        <v>143</v>
      </c>
      <c r="D94" s="62" t="s">
        <v>125</v>
      </c>
      <c r="E94" s="427"/>
      <c r="F94" s="427"/>
      <c r="G94" s="427"/>
      <c r="H94" s="59"/>
      <c r="I94" s="59"/>
    </row>
    <row r="95" spans="1:9" s="60" customFormat="1" ht="12.75">
      <c r="A95" s="58"/>
      <c r="B95" s="39"/>
      <c r="C95" s="63" t="s">
        <v>144</v>
      </c>
      <c r="D95" s="53" t="s">
        <v>145</v>
      </c>
      <c r="E95" s="452" t="s">
        <v>146</v>
      </c>
      <c r="F95" s="453"/>
      <c r="G95" s="454"/>
      <c r="H95" s="67">
        <f>F17/H89*1000</f>
        <v>113635.83333333334</v>
      </c>
      <c r="I95" s="67">
        <f>(F18+G18)/I89*1000</f>
        <v>126989.16666666666</v>
      </c>
    </row>
    <row r="96" spans="1:9" s="60" customFormat="1" ht="12.75">
      <c r="A96" s="58"/>
      <c r="B96" s="39"/>
      <c r="C96" s="61" t="s">
        <v>147</v>
      </c>
      <c r="D96" s="62" t="s">
        <v>125</v>
      </c>
      <c r="E96" s="427"/>
      <c r="F96" s="427"/>
      <c r="G96" s="427"/>
      <c r="H96" s="59"/>
      <c r="I96" s="59"/>
    </row>
    <row r="97" spans="1:9" s="60" customFormat="1" ht="12.75">
      <c r="A97" s="58"/>
      <c r="B97" s="39"/>
      <c r="C97" s="63" t="s">
        <v>148</v>
      </c>
      <c r="D97" s="53" t="s">
        <v>123</v>
      </c>
      <c r="E97" s="452" t="s">
        <v>146</v>
      </c>
      <c r="F97" s="453"/>
      <c r="G97" s="454"/>
      <c r="H97" s="59">
        <v>100</v>
      </c>
      <c r="I97" s="59">
        <v>100</v>
      </c>
    </row>
    <row r="98" spans="1:9" s="48" customFormat="1" ht="12.75">
      <c r="A98" s="68"/>
      <c r="B98" s="69"/>
      <c r="C98" s="455" t="s">
        <v>155</v>
      </c>
      <c r="D98" s="456"/>
      <c r="E98" s="456"/>
      <c r="F98" s="456"/>
      <c r="G98" s="456"/>
      <c r="H98" s="456"/>
      <c r="I98" s="457"/>
    </row>
    <row r="99" spans="1:9" s="60" customFormat="1" ht="12.75">
      <c r="A99" s="58"/>
      <c r="B99" s="39"/>
      <c r="C99" s="61" t="s">
        <v>126</v>
      </c>
      <c r="D99" s="62" t="s">
        <v>125</v>
      </c>
      <c r="E99" s="427"/>
      <c r="F99" s="427"/>
      <c r="G99" s="427"/>
      <c r="H99" s="59"/>
      <c r="I99" s="59"/>
    </row>
    <row r="100" spans="1:9" s="60" customFormat="1" ht="12.75">
      <c r="A100" s="58"/>
      <c r="B100" s="39"/>
      <c r="C100" s="64" t="s">
        <v>149</v>
      </c>
      <c r="D100" s="65" t="s">
        <v>150</v>
      </c>
      <c r="E100" s="448" t="s">
        <v>128</v>
      </c>
      <c r="F100" s="449"/>
      <c r="G100" s="450"/>
      <c r="H100" s="59"/>
      <c r="I100" s="67">
        <f>G55</f>
        <v>7000</v>
      </c>
    </row>
    <row r="101" spans="1:9" s="60" customFormat="1" ht="12.75">
      <c r="A101" s="58"/>
      <c r="B101" s="39"/>
      <c r="C101" s="61" t="s">
        <v>136</v>
      </c>
      <c r="D101" s="62" t="s">
        <v>125</v>
      </c>
      <c r="E101" s="427"/>
      <c r="F101" s="427"/>
      <c r="G101" s="427"/>
      <c r="H101" s="59"/>
      <c r="I101" s="59"/>
    </row>
    <row r="102" spans="1:9" s="60" customFormat="1" ht="12.75">
      <c r="A102" s="58"/>
      <c r="B102" s="39"/>
      <c r="C102" s="64" t="s">
        <v>151</v>
      </c>
      <c r="D102" s="65" t="s">
        <v>124</v>
      </c>
      <c r="E102" s="448" t="s">
        <v>128</v>
      </c>
      <c r="F102" s="449"/>
      <c r="G102" s="450"/>
      <c r="H102" s="59"/>
      <c r="I102" s="59">
        <v>144</v>
      </c>
    </row>
    <row r="103" spans="1:9" s="60" customFormat="1" ht="12.75">
      <c r="A103" s="58"/>
      <c r="B103" s="39"/>
      <c r="C103" s="61" t="s">
        <v>143</v>
      </c>
      <c r="D103" s="62" t="s">
        <v>125</v>
      </c>
      <c r="E103" s="427"/>
      <c r="F103" s="427"/>
      <c r="G103" s="427"/>
      <c r="H103" s="59"/>
      <c r="I103" s="59"/>
    </row>
    <row r="104" spans="1:9" s="60" customFormat="1" ht="12.75">
      <c r="A104" s="58"/>
      <c r="B104" s="39"/>
      <c r="C104" s="64" t="s">
        <v>152</v>
      </c>
      <c r="D104" s="65" t="s">
        <v>150</v>
      </c>
      <c r="E104" s="452" t="s">
        <v>146</v>
      </c>
      <c r="F104" s="453"/>
      <c r="G104" s="454"/>
      <c r="H104" s="59"/>
      <c r="I104" s="66">
        <f>I100/I102</f>
        <v>48.611111111111114</v>
      </c>
    </row>
    <row r="105" spans="1:9" s="60" customFormat="1" ht="12.75">
      <c r="A105" s="58"/>
      <c r="B105" s="39"/>
      <c r="C105" s="61" t="s">
        <v>147</v>
      </c>
      <c r="D105" s="62" t="s">
        <v>125</v>
      </c>
      <c r="E105" s="427"/>
      <c r="F105" s="427"/>
      <c r="G105" s="427"/>
      <c r="H105" s="59"/>
      <c r="I105" s="59"/>
    </row>
    <row r="106" spans="1:9" s="60" customFormat="1" ht="12.75">
      <c r="A106" s="58"/>
      <c r="B106" s="39"/>
      <c r="C106" s="64" t="s">
        <v>153</v>
      </c>
      <c r="D106" s="65" t="s">
        <v>123</v>
      </c>
      <c r="E106" s="448" t="s">
        <v>128</v>
      </c>
      <c r="F106" s="449"/>
      <c r="G106" s="450"/>
      <c r="H106" s="59"/>
      <c r="I106" s="59">
        <v>100</v>
      </c>
    </row>
    <row r="107" ht="12.75">
      <c r="A107" s="22"/>
    </row>
    <row r="108" spans="1:9" ht="30.75" customHeight="1">
      <c r="A108" s="444" t="s">
        <v>27</v>
      </c>
      <c r="B108" s="444"/>
      <c r="C108" s="444"/>
      <c r="D108" s="444"/>
      <c r="E108" s="444"/>
      <c r="F108" s="444"/>
      <c r="G108" s="444"/>
      <c r="H108" s="444"/>
      <c r="I108" s="444"/>
    </row>
    <row r="109" spans="1:9" ht="15">
      <c r="A109" s="446"/>
      <c r="B109" s="446"/>
      <c r="C109" s="446"/>
      <c r="D109" s="446"/>
      <c r="E109" s="446"/>
      <c r="F109" s="446"/>
      <c r="G109" s="446"/>
      <c r="H109" s="446"/>
      <c r="I109" s="446"/>
    </row>
    <row r="110" spans="1:9" ht="15">
      <c r="A110" s="446"/>
      <c r="B110" s="446"/>
      <c r="C110" s="446"/>
      <c r="D110" s="446"/>
      <c r="E110" s="446"/>
      <c r="F110" s="446"/>
      <c r="G110" s="446"/>
      <c r="H110" s="446"/>
      <c r="I110" s="446"/>
    </row>
    <row r="111" spans="1:9" ht="15">
      <c r="A111" s="442" t="s">
        <v>210</v>
      </c>
      <c r="B111" s="442"/>
      <c r="C111" s="442"/>
      <c r="D111" s="442"/>
      <c r="E111" s="442"/>
      <c r="F111" s="442"/>
      <c r="G111" s="442"/>
      <c r="H111" s="442"/>
      <c r="I111" s="442"/>
    </row>
    <row r="112" ht="12.75">
      <c r="I112" s="2" t="s">
        <v>4</v>
      </c>
    </row>
    <row r="113" spans="1:9" s="19" customFormat="1" ht="12.75">
      <c r="A113" s="443" t="s">
        <v>3</v>
      </c>
      <c r="B113" s="443"/>
      <c r="C113" s="23"/>
      <c r="D113" s="18"/>
      <c r="E113" s="18"/>
      <c r="F113" s="18"/>
      <c r="G113" s="18"/>
      <c r="H113" s="443"/>
      <c r="I113" s="443"/>
    </row>
    <row r="114" ht="12.75">
      <c r="A114" s="3"/>
    </row>
    <row r="115" spans="1:9" ht="30.75" customHeight="1">
      <c r="A115" s="444" t="s">
        <v>211</v>
      </c>
      <c r="B115" s="444"/>
      <c r="C115" s="444"/>
      <c r="D115" s="444"/>
      <c r="E115" s="444"/>
      <c r="F115" s="444"/>
      <c r="G115" s="444"/>
      <c r="H115" s="444"/>
      <c r="I115" s="444"/>
    </row>
    <row r="116" ht="12.75">
      <c r="I116" s="2" t="s">
        <v>4</v>
      </c>
    </row>
    <row r="117" spans="1:9" ht="36.75" customHeight="1">
      <c r="A117" s="441" t="s">
        <v>23</v>
      </c>
      <c r="B117" s="441"/>
      <c r="C117" s="441" t="s">
        <v>1</v>
      </c>
      <c r="D117" s="441" t="s">
        <v>7</v>
      </c>
      <c r="E117" s="441"/>
      <c r="F117" s="441" t="s">
        <v>178</v>
      </c>
      <c r="G117" s="441"/>
      <c r="H117" s="441" t="s">
        <v>212</v>
      </c>
      <c r="I117" s="441"/>
    </row>
    <row r="118" spans="1:9" ht="36" customHeight="1">
      <c r="A118" s="441"/>
      <c r="B118" s="441"/>
      <c r="C118" s="441"/>
      <c r="D118" s="14" t="s">
        <v>28</v>
      </c>
      <c r="E118" s="14" t="s">
        <v>36</v>
      </c>
      <c r="F118" s="14" t="s">
        <v>28</v>
      </c>
      <c r="G118" s="14" t="s">
        <v>36</v>
      </c>
      <c r="H118" s="441"/>
      <c r="I118" s="441"/>
    </row>
    <row r="119" spans="1:9" ht="13.5" thickBot="1">
      <c r="A119" s="445">
        <v>1</v>
      </c>
      <c r="B119" s="445"/>
      <c r="C119" s="17">
        <v>2</v>
      </c>
      <c r="D119" s="16">
        <v>3</v>
      </c>
      <c r="E119" s="16">
        <v>4</v>
      </c>
      <c r="F119" s="16">
        <v>5</v>
      </c>
      <c r="G119" s="16">
        <v>6</v>
      </c>
      <c r="H119" s="445">
        <v>7</v>
      </c>
      <c r="I119" s="445"/>
    </row>
    <row r="120" spans="1:9" ht="13.5" thickTop="1">
      <c r="A120" s="447"/>
      <c r="B120" s="447"/>
      <c r="C120" s="15"/>
      <c r="D120" s="25"/>
      <c r="E120" s="25"/>
      <c r="F120" s="25"/>
      <c r="G120" s="25"/>
      <c r="H120" s="440"/>
      <c r="I120" s="440"/>
    </row>
    <row r="121" spans="1:9" ht="12.75">
      <c r="A121" s="402"/>
      <c r="B121" s="402"/>
      <c r="C121" s="12"/>
      <c r="D121" s="11"/>
      <c r="E121" s="11"/>
      <c r="F121" s="11"/>
      <c r="G121" s="11"/>
      <c r="H121" s="427"/>
      <c r="I121" s="427"/>
    </row>
    <row r="122" spans="1:9" ht="12.75">
      <c r="A122" s="402"/>
      <c r="B122" s="402"/>
      <c r="C122" s="12"/>
      <c r="D122" s="11"/>
      <c r="E122" s="11"/>
      <c r="F122" s="11"/>
      <c r="G122" s="11"/>
      <c r="H122" s="427"/>
      <c r="I122" s="427"/>
    </row>
    <row r="123" spans="1:9" ht="12.75">
      <c r="A123" s="402"/>
      <c r="B123" s="402"/>
      <c r="C123" s="12"/>
      <c r="D123" s="11"/>
      <c r="E123" s="11"/>
      <c r="F123" s="11"/>
      <c r="G123" s="11"/>
      <c r="H123" s="427"/>
      <c r="I123" s="427"/>
    </row>
    <row r="124" spans="1:9" ht="12.75">
      <c r="A124" s="402"/>
      <c r="B124" s="402"/>
      <c r="C124" s="12"/>
      <c r="D124" s="11"/>
      <c r="E124" s="11"/>
      <c r="F124" s="11"/>
      <c r="G124" s="11"/>
      <c r="H124" s="427"/>
      <c r="I124" s="427"/>
    </row>
    <row r="125" ht="15">
      <c r="A125" s="1"/>
    </row>
    <row r="126" spans="1:9" ht="14.25" customHeight="1">
      <c r="A126" s="444" t="s">
        <v>25</v>
      </c>
      <c r="B126" s="444"/>
      <c r="C126" s="444"/>
      <c r="D126" s="444"/>
      <c r="E126" s="444"/>
      <c r="F126" s="444"/>
      <c r="G126" s="444"/>
      <c r="H126" s="444"/>
      <c r="I126" s="444"/>
    </row>
    <row r="127" spans="1:9" ht="72.75" customHeight="1">
      <c r="A127" s="14" t="s">
        <v>20</v>
      </c>
      <c r="B127" s="8" t="s">
        <v>0</v>
      </c>
      <c r="C127" s="14" t="s">
        <v>1</v>
      </c>
      <c r="D127" s="14" t="s">
        <v>14</v>
      </c>
      <c r="E127" s="14" t="s">
        <v>15</v>
      </c>
      <c r="F127" s="14" t="s">
        <v>29</v>
      </c>
      <c r="G127" s="14" t="s">
        <v>30</v>
      </c>
      <c r="H127" s="14" t="s">
        <v>31</v>
      </c>
      <c r="I127" s="14" t="s">
        <v>32</v>
      </c>
    </row>
    <row r="128" spans="1:9" ht="13.5" thickBot="1">
      <c r="A128" s="17">
        <v>1</v>
      </c>
      <c r="B128" s="17">
        <v>2</v>
      </c>
      <c r="C128" s="16">
        <v>3</v>
      </c>
      <c r="D128" s="16">
        <v>4</v>
      </c>
      <c r="E128" s="16">
        <v>5</v>
      </c>
      <c r="F128" s="16">
        <v>6</v>
      </c>
      <c r="G128" s="16">
        <v>7</v>
      </c>
      <c r="H128" s="16">
        <v>8</v>
      </c>
      <c r="I128" s="16">
        <v>9</v>
      </c>
    </row>
    <row r="129" spans="1:9" ht="13.5" hidden="1" thickTop="1">
      <c r="A129" s="24"/>
      <c r="B129" s="26"/>
      <c r="C129" s="26" t="s">
        <v>10</v>
      </c>
      <c r="D129" s="24"/>
      <c r="E129" s="24"/>
      <c r="F129" s="24"/>
      <c r="G129" s="24"/>
      <c r="H129" s="24"/>
      <c r="I129" s="24"/>
    </row>
    <row r="130" spans="1:9" ht="12.75" hidden="1">
      <c r="A130" s="18"/>
      <c r="B130" s="12"/>
      <c r="C130" s="12" t="s">
        <v>26</v>
      </c>
      <c r="D130" s="18"/>
      <c r="E130" s="18"/>
      <c r="F130" s="18"/>
      <c r="G130" s="18"/>
      <c r="H130" s="18"/>
      <c r="I130" s="18"/>
    </row>
    <row r="131" spans="1:9" ht="12.75" hidden="1">
      <c r="A131" s="18"/>
      <c r="B131" s="12"/>
      <c r="C131" s="12" t="s">
        <v>16</v>
      </c>
      <c r="D131" s="18"/>
      <c r="E131" s="18"/>
      <c r="F131" s="18"/>
      <c r="G131" s="18"/>
      <c r="H131" s="18"/>
      <c r="I131" s="18"/>
    </row>
    <row r="132" spans="1:9" ht="12.75" hidden="1">
      <c r="A132" s="18"/>
      <c r="B132" s="12"/>
      <c r="C132" s="12" t="s">
        <v>2</v>
      </c>
      <c r="D132" s="18"/>
      <c r="E132" s="18"/>
      <c r="F132" s="18"/>
      <c r="G132" s="18"/>
      <c r="H132" s="18"/>
      <c r="I132" s="18"/>
    </row>
    <row r="133" spans="1:9" ht="12.75" hidden="1">
      <c r="A133" s="18"/>
      <c r="B133" s="12"/>
      <c r="C133" s="12" t="s">
        <v>17</v>
      </c>
      <c r="D133" s="18"/>
      <c r="E133" s="18"/>
      <c r="F133" s="18"/>
      <c r="G133" s="18"/>
      <c r="H133" s="18"/>
      <c r="I133" s="18"/>
    </row>
    <row r="134" spans="1:9" ht="12.75" hidden="1">
      <c r="A134" s="18"/>
      <c r="B134" s="12"/>
      <c r="C134" s="12" t="s">
        <v>2</v>
      </c>
      <c r="D134" s="18"/>
      <c r="E134" s="18"/>
      <c r="F134" s="18"/>
      <c r="G134" s="18"/>
      <c r="H134" s="18"/>
      <c r="I134" s="18"/>
    </row>
    <row r="135" spans="1:9" ht="12.75" hidden="1">
      <c r="A135" s="18"/>
      <c r="B135" s="12"/>
      <c r="C135" s="12" t="s">
        <v>18</v>
      </c>
      <c r="D135" s="18"/>
      <c r="E135" s="18"/>
      <c r="F135" s="18"/>
      <c r="G135" s="18"/>
      <c r="H135" s="18"/>
      <c r="I135" s="18"/>
    </row>
    <row r="136" spans="1:9" ht="12.75" hidden="1">
      <c r="A136" s="18"/>
      <c r="B136" s="12"/>
      <c r="C136" s="12" t="s">
        <v>33</v>
      </c>
      <c r="D136" s="18"/>
      <c r="E136" s="18"/>
      <c r="F136" s="18"/>
      <c r="G136" s="18"/>
      <c r="H136" s="18"/>
      <c r="I136" s="18"/>
    </row>
    <row r="137" spans="1:9" ht="12.75" hidden="1">
      <c r="A137" s="18"/>
      <c r="B137" s="12"/>
      <c r="C137" s="12" t="s">
        <v>19</v>
      </c>
      <c r="D137" s="18"/>
      <c r="E137" s="18"/>
      <c r="F137" s="18"/>
      <c r="G137" s="18"/>
      <c r="H137" s="18"/>
      <c r="I137" s="18"/>
    </row>
    <row r="138" spans="1:9" ht="12.75" hidden="1">
      <c r="A138" s="18"/>
      <c r="B138" s="12"/>
      <c r="C138" s="12" t="s">
        <v>2</v>
      </c>
      <c r="D138" s="18"/>
      <c r="E138" s="18"/>
      <c r="F138" s="18"/>
      <c r="G138" s="18"/>
      <c r="H138" s="18"/>
      <c r="I138" s="18"/>
    </row>
    <row r="139" spans="1:9" ht="12.75" hidden="1">
      <c r="A139" s="18"/>
      <c r="B139" s="13"/>
      <c r="C139" s="13" t="s">
        <v>11</v>
      </c>
      <c r="D139" s="18"/>
      <c r="E139" s="18"/>
      <c r="F139" s="18"/>
      <c r="G139" s="18"/>
      <c r="H139" s="18"/>
      <c r="I139" s="18"/>
    </row>
    <row r="140" spans="1:9" ht="13.5" thickTop="1">
      <c r="A140" s="18"/>
      <c r="B140" s="12"/>
      <c r="C140" s="12" t="s">
        <v>2</v>
      </c>
      <c r="D140" s="18"/>
      <c r="E140" s="18"/>
      <c r="F140" s="18"/>
      <c r="G140" s="18"/>
      <c r="H140" s="18"/>
      <c r="I140" s="18"/>
    </row>
    <row r="141" ht="12.75">
      <c r="A141" s="22"/>
    </row>
    <row r="142" spans="1:9" ht="30.75" customHeight="1">
      <c r="A142" s="444" t="s">
        <v>34</v>
      </c>
      <c r="B142" s="444"/>
      <c r="C142" s="444"/>
      <c r="D142" s="444"/>
      <c r="E142" s="444"/>
      <c r="F142" s="444"/>
      <c r="G142" s="444"/>
      <c r="H142" s="444"/>
      <c r="I142" s="444"/>
    </row>
    <row r="143" spans="1:9" ht="15">
      <c r="A143" s="446"/>
      <c r="B143" s="446"/>
      <c r="C143" s="446"/>
      <c r="D143" s="446"/>
      <c r="E143" s="446"/>
      <c r="F143" s="446"/>
      <c r="G143" s="446"/>
      <c r="H143" s="446"/>
      <c r="I143" s="446"/>
    </row>
    <row r="144" spans="1:9" ht="15">
      <c r="A144" s="442" t="s">
        <v>213</v>
      </c>
      <c r="B144" s="442"/>
      <c r="C144" s="442"/>
      <c r="D144" s="442"/>
      <c r="E144" s="442"/>
      <c r="F144" s="442"/>
      <c r="G144" s="442"/>
      <c r="H144" s="442"/>
      <c r="I144" s="442"/>
    </row>
    <row r="145" spans="1:9" ht="12.75">
      <c r="A145" s="2" t="s">
        <v>35</v>
      </c>
      <c r="I145" s="2" t="s">
        <v>4</v>
      </c>
    </row>
    <row r="146" spans="1:9" s="19" customFormat="1" ht="12.75">
      <c r="A146" s="443" t="s">
        <v>3</v>
      </c>
      <c r="B146" s="443"/>
      <c r="C146" s="23"/>
      <c r="D146" s="18"/>
      <c r="E146" s="18"/>
      <c r="F146" s="18"/>
      <c r="G146" s="18"/>
      <c r="H146" s="443"/>
      <c r="I146" s="443"/>
    </row>
    <row r="147" ht="12.75">
      <c r="A147" s="4"/>
    </row>
    <row r="148" ht="12.75">
      <c r="A148" s="4"/>
    </row>
    <row r="149" spans="1:9" ht="18.75" customHeight="1">
      <c r="A149" s="393" t="s">
        <v>159</v>
      </c>
      <c r="B149" s="393"/>
      <c r="C149" s="393"/>
      <c r="E149" s="392" t="s">
        <v>8</v>
      </c>
      <c r="F149" s="392"/>
      <c r="H149" s="392" t="s">
        <v>108</v>
      </c>
      <c r="I149" s="392"/>
    </row>
    <row r="150" spans="1:9" ht="15">
      <c r="A150" s="5"/>
      <c r="B150" s="5"/>
      <c r="E150" s="431" t="s">
        <v>5</v>
      </c>
      <c r="F150" s="431"/>
      <c r="H150" s="431" t="s">
        <v>6</v>
      </c>
      <c r="I150" s="431"/>
    </row>
    <row r="151" spans="1:8" ht="12.75" customHeight="1">
      <c r="A151" s="10"/>
      <c r="B151" s="10"/>
      <c r="E151" s="9"/>
      <c r="H151" s="9"/>
    </row>
    <row r="152" spans="1:9" ht="18.75" customHeight="1">
      <c r="A152" s="393" t="s">
        <v>107</v>
      </c>
      <c r="B152" s="393"/>
      <c r="C152" s="393"/>
      <c r="E152" s="392" t="s">
        <v>8</v>
      </c>
      <c r="F152" s="392"/>
      <c r="H152" s="392" t="s">
        <v>109</v>
      </c>
      <c r="I152" s="392"/>
    </row>
    <row r="153" spans="1:9" ht="15">
      <c r="A153" s="5"/>
      <c r="E153" s="431" t="s">
        <v>5</v>
      </c>
      <c r="F153" s="431"/>
      <c r="H153" s="431" t="s">
        <v>6</v>
      </c>
      <c r="I153" s="431"/>
    </row>
    <row r="154" ht="12.75">
      <c r="A154" s="4"/>
    </row>
    <row r="155" ht="12.75">
      <c r="A155" s="4"/>
    </row>
  </sheetData>
  <sheetProtection/>
  <mergeCells count="141">
    <mergeCell ref="H53:I55"/>
    <mergeCell ref="E95:G95"/>
    <mergeCell ref="E96:G96"/>
    <mergeCell ref="C79:I79"/>
    <mergeCell ref="E80:G80"/>
    <mergeCell ref="E81:G81"/>
    <mergeCell ref="E83:G83"/>
    <mergeCell ref="E91:G91"/>
    <mergeCell ref="E92:G92"/>
    <mergeCell ref="E87:G87"/>
    <mergeCell ref="E88:G88"/>
    <mergeCell ref="B12:I12"/>
    <mergeCell ref="B5:J5"/>
    <mergeCell ref="B6:J6"/>
    <mergeCell ref="E94:G94"/>
    <mergeCell ref="E103:G103"/>
    <mergeCell ref="E97:G97"/>
    <mergeCell ref="E99:G99"/>
    <mergeCell ref="C98:I98"/>
    <mergeCell ref="E100:G100"/>
    <mergeCell ref="E104:G104"/>
    <mergeCell ref="H73:I73"/>
    <mergeCell ref="H71:I71"/>
    <mergeCell ref="H62:I62"/>
    <mergeCell ref="E102:G102"/>
    <mergeCell ref="E105:G105"/>
    <mergeCell ref="E84:G84"/>
    <mergeCell ref="E85:G85"/>
    <mergeCell ref="E86:G86"/>
    <mergeCell ref="E93:G93"/>
    <mergeCell ref="H65:I65"/>
    <mergeCell ref="H66:I66"/>
    <mergeCell ref="H67:I67"/>
    <mergeCell ref="H68:I68"/>
    <mergeCell ref="H69:I69"/>
    <mergeCell ref="H70:I70"/>
    <mergeCell ref="H61:I61"/>
    <mergeCell ref="E106:G106"/>
    <mergeCell ref="E77:G77"/>
    <mergeCell ref="E76:G76"/>
    <mergeCell ref="E78:G78"/>
    <mergeCell ref="E82:G82"/>
    <mergeCell ref="H72:I72"/>
    <mergeCell ref="E101:G101"/>
    <mergeCell ref="E89:G89"/>
    <mergeCell ref="E90:G90"/>
    <mergeCell ref="H63:I63"/>
    <mergeCell ref="H64:I64"/>
    <mergeCell ref="H50:I50"/>
    <mergeCell ref="H51:I51"/>
    <mergeCell ref="H52:I52"/>
    <mergeCell ref="H56:I56"/>
    <mergeCell ref="H57:I57"/>
    <mergeCell ref="H58:I58"/>
    <mergeCell ref="H59:I59"/>
    <mergeCell ref="H60:I60"/>
    <mergeCell ref="A124:B124"/>
    <mergeCell ref="E149:F149"/>
    <mergeCell ref="H36:I36"/>
    <mergeCell ref="H37:I37"/>
    <mergeCell ref="H38:I38"/>
    <mergeCell ref="H39:I39"/>
    <mergeCell ref="H40:I40"/>
    <mergeCell ref="H41:I41"/>
    <mergeCell ref="H45:I45"/>
    <mergeCell ref="H46:I46"/>
    <mergeCell ref="A4:I4"/>
    <mergeCell ref="H17:I17"/>
    <mergeCell ref="H18:I18"/>
    <mergeCell ref="D14:D15"/>
    <mergeCell ref="E14:E15"/>
    <mergeCell ref="H43:I43"/>
    <mergeCell ref="H42:I42"/>
    <mergeCell ref="A16:B16"/>
    <mergeCell ref="F14:G14"/>
    <mergeCell ref="H33:I33"/>
    <mergeCell ref="E150:F150"/>
    <mergeCell ref="A146:B146"/>
    <mergeCell ref="A149:C149"/>
    <mergeCell ref="A109:I109"/>
    <mergeCell ref="A110:I110"/>
    <mergeCell ref="H123:I123"/>
    <mergeCell ref="A121:B121"/>
    <mergeCell ref="A122:B122"/>
    <mergeCell ref="A120:B120"/>
    <mergeCell ref="A143:I143"/>
    <mergeCell ref="A1:I1"/>
    <mergeCell ref="A3:I3"/>
    <mergeCell ref="A113:B113"/>
    <mergeCell ref="A75:I75"/>
    <mergeCell ref="A108:I108"/>
    <mergeCell ref="C14:C15"/>
    <mergeCell ref="A14:B15"/>
    <mergeCell ref="H113:I113"/>
    <mergeCell ref="H24:I24"/>
    <mergeCell ref="H25:I25"/>
    <mergeCell ref="H34:I34"/>
    <mergeCell ref="H35:I35"/>
    <mergeCell ref="H44:I44"/>
    <mergeCell ref="H47:I47"/>
    <mergeCell ref="H48:I48"/>
    <mergeCell ref="H49:I49"/>
    <mergeCell ref="F117:G117"/>
    <mergeCell ref="A115:I115"/>
    <mergeCell ref="E152:F152"/>
    <mergeCell ref="H152:I152"/>
    <mergeCell ref="H122:I122"/>
    <mergeCell ref="H121:I121"/>
    <mergeCell ref="H119:I119"/>
    <mergeCell ref="A123:B123"/>
    <mergeCell ref="A117:B118"/>
    <mergeCell ref="A119:B119"/>
    <mergeCell ref="E153:F153"/>
    <mergeCell ref="H153:I153"/>
    <mergeCell ref="H150:I150"/>
    <mergeCell ref="H124:I124"/>
    <mergeCell ref="H146:I146"/>
    <mergeCell ref="A126:I126"/>
    <mergeCell ref="A142:I142"/>
    <mergeCell ref="A144:I144"/>
    <mergeCell ref="A152:C152"/>
    <mergeCell ref="H149:I149"/>
    <mergeCell ref="H120:I120"/>
    <mergeCell ref="H14:I15"/>
    <mergeCell ref="H16:I16"/>
    <mergeCell ref="H117:I118"/>
    <mergeCell ref="H30:I30"/>
    <mergeCell ref="H31:I31"/>
    <mergeCell ref="H32:I32"/>
    <mergeCell ref="A111:I111"/>
    <mergeCell ref="C117:C118"/>
    <mergeCell ref="D117:E117"/>
    <mergeCell ref="H27:I27"/>
    <mergeCell ref="H28:I28"/>
    <mergeCell ref="H29:I29"/>
    <mergeCell ref="H19:I19"/>
    <mergeCell ref="H20:I20"/>
    <mergeCell ref="H21:I21"/>
    <mergeCell ref="H22:I22"/>
    <mergeCell ref="H23:I23"/>
    <mergeCell ref="H26:I26"/>
  </mergeCells>
  <printOptions horizontalCentered="1"/>
  <pageMargins left="0.2362204724409449" right="0.15748031496062992" top="0.1968503937007874" bottom="0.15748031496062992" header="0.1968503937007874" footer="0.11811023622047245"/>
  <pageSetup fitToHeight="0" fitToWidth="1"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J147"/>
  <sheetViews>
    <sheetView view="pageBreakPreview" zoomScale="90" zoomScaleSheetLayoutView="90" zoomScalePageLayoutView="0" workbookViewId="0" topLeftCell="B8">
      <selection activeCell="H81" sqref="H81:H89"/>
    </sheetView>
  </sheetViews>
  <sheetFormatPr defaultColWidth="9.00390625" defaultRowHeight="12.75"/>
  <cols>
    <col min="1" max="1" width="11.00390625" style="0" hidden="1" customWidth="1"/>
    <col min="2" max="2" width="7.625" style="0" customWidth="1"/>
    <col min="3" max="3" width="84.50390625" style="0" customWidth="1"/>
    <col min="4" max="4" width="8.375" style="0" customWidth="1"/>
    <col min="5" max="6" width="8.50390625" style="0" customWidth="1"/>
    <col min="7" max="7" width="11.375" style="0" customWidth="1"/>
    <col min="8" max="8" width="32.50390625" style="0" customWidth="1"/>
    <col min="9" max="9" width="32.375" style="0" customWidth="1"/>
    <col min="10" max="10" width="10.50390625" style="0" customWidth="1"/>
  </cols>
  <sheetData>
    <row r="1" spans="1:9" s="60" customFormat="1" ht="21" thickBot="1">
      <c r="A1" s="432" t="s">
        <v>217</v>
      </c>
      <c r="B1" s="432"/>
      <c r="C1" s="432"/>
      <c r="D1" s="432"/>
      <c r="E1" s="432"/>
      <c r="F1" s="432"/>
      <c r="G1" s="432"/>
      <c r="H1" s="432"/>
      <c r="I1" s="432"/>
    </row>
    <row r="2" s="60" customFormat="1" ht="9.75" customHeight="1" thickTop="1">
      <c r="A2" s="70"/>
    </row>
    <row r="3" spans="1:10" s="60" customFormat="1" ht="15">
      <c r="A3" s="433" t="s">
        <v>160</v>
      </c>
      <c r="B3" s="433"/>
      <c r="C3" s="433"/>
      <c r="D3" s="433"/>
      <c r="E3" s="433"/>
      <c r="F3" s="433"/>
      <c r="G3" s="433"/>
      <c r="H3" s="433"/>
      <c r="I3" s="433"/>
      <c r="J3" s="325"/>
    </row>
    <row r="4" spans="1:10" s="60" customFormat="1" ht="12" customHeight="1">
      <c r="A4" s="434" t="s">
        <v>206</v>
      </c>
      <c r="B4" s="434"/>
      <c r="C4" s="434"/>
      <c r="D4" s="434"/>
      <c r="E4" s="434"/>
      <c r="F4" s="434"/>
      <c r="G4" s="434"/>
      <c r="H4" s="434"/>
      <c r="I4" s="434"/>
      <c r="J4" s="325"/>
    </row>
    <row r="5" spans="1:10" s="60" customFormat="1" ht="12" customHeight="1">
      <c r="A5" s="362"/>
      <c r="B5" s="433" t="s">
        <v>205</v>
      </c>
      <c r="C5" s="433"/>
      <c r="D5" s="433"/>
      <c r="E5" s="433"/>
      <c r="F5" s="433"/>
      <c r="G5" s="433"/>
      <c r="H5" s="433"/>
      <c r="I5" s="433"/>
      <c r="J5" s="433"/>
    </row>
    <row r="6" spans="1:10" s="60" customFormat="1" ht="12" customHeight="1">
      <c r="A6" s="362"/>
      <c r="B6" s="434" t="s">
        <v>207</v>
      </c>
      <c r="C6" s="434"/>
      <c r="D6" s="434"/>
      <c r="E6" s="434"/>
      <c r="F6" s="434"/>
      <c r="G6" s="434"/>
      <c r="H6" s="434"/>
      <c r="I6" s="434"/>
      <c r="J6" s="434"/>
    </row>
    <row r="7" spans="1:10" s="60" customFormat="1" ht="12" customHeight="1">
      <c r="A7" s="362"/>
      <c r="B7" s="119"/>
      <c r="C7" s="116"/>
      <c r="D7" s="116"/>
      <c r="E7" s="116"/>
      <c r="F7" s="116"/>
      <c r="G7" s="116"/>
      <c r="H7" s="116"/>
      <c r="I7" s="116"/>
      <c r="J7" s="325"/>
    </row>
    <row r="8" spans="1:10" s="60" customFormat="1" ht="12" customHeight="1">
      <c r="A8" s="362"/>
      <c r="B8" s="115" t="s">
        <v>235</v>
      </c>
      <c r="C8" s="116"/>
      <c r="D8" s="116"/>
      <c r="E8" s="116"/>
      <c r="F8" s="116"/>
      <c r="G8" s="116"/>
      <c r="H8" s="116"/>
      <c r="I8" s="116"/>
      <c r="J8" s="325"/>
    </row>
    <row r="9" spans="1:10" s="60" customFormat="1" ht="12" customHeight="1">
      <c r="A9" s="362"/>
      <c r="B9" s="117"/>
      <c r="C9" s="118" t="s">
        <v>201</v>
      </c>
      <c r="D9" s="116"/>
      <c r="E9" s="120" t="s">
        <v>202</v>
      </c>
      <c r="F9" s="116"/>
      <c r="G9" s="325"/>
      <c r="H9" s="116"/>
      <c r="I9" s="116"/>
      <c r="J9" s="325"/>
    </row>
    <row r="10" spans="1:10" s="60" customFormat="1" ht="12" customHeight="1">
      <c r="A10" s="362"/>
      <c r="B10" s="121"/>
      <c r="C10" s="121"/>
      <c r="D10" s="121"/>
      <c r="E10" s="121"/>
      <c r="F10" s="121"/>
      <c r="G10" s="121"/>
      <c r="H10" s="121"/>
      <c r="I10" s="121"/>
      <c r="J10" s="325"/>
    </row>
    <row r="11" spans="1:9" s="60" customFormat="1" ht="12" customHeight="1">
      <c r="A11" s="112"/>
      <c r="B11" s="115" t="s">
        <v>203</v>
      </c>
      <c r="C11" s="115"/>
      <c r="D11" s="115"/>
      <c r="E11" s="115"/>
      <c r="F11" s="115"/>
      <c r="G11" s="115"/>
      <c r="H11" s="115"/>
      <c r="I11" s="115"/>
    </row>
    <row r="12" spans="1:9" s="60" customFormat="1" ht="12" customHeight="1">
      <c r="A12" s="112"/>
      <c r="B12" s="400" t="s">
        <v>204</v>
      </c>
      <c r="C12" s="400"/>
      <c r="D12" s="400"/>
      <c r="E12" s="400"/>
      <c r="F12" s="400"/>
      <c r="G12" s="400"/>
      <c r="H12" s="400"/>
      <c r="I12" s="400"/>
    </row>
    <row r="13" s="60" customFormat="1" ht="12.75">
      <c r="I13" s="71" t="s">
        <v>4</v>
      </c>
    </row>
    <row r="14" spans="1:9" s="60" customFormat="1" ht="12.75">
      <c r="A14" s="417" t="s">
        <v>23</v>
      </c>
      <c r="B14" s="417"/>
      <c r="C14" s="417" t="s">
        <v>1</v>
      </c>
      <c r="D14" s="417" t="s">
        <v>175</v>
      </c>
      <c r="E14" s="417" t="s">
        <v>176</v>
      </c>
      <c r="F14" s="417" t="s">
        <v>177</v>
      </c>
      <c r="G14" s="417"/>
      <c r="H14" s="417" t="s">
        <v>208</v>
      </c>
      <c r="I14" s="417"/>
    </row>
    <row r="15" spans="1:9" s="60" customFormat="1" ht="27" customHeight="1">
      <c r="A15" s="417"/>
      <c r="B15" s="417"/>
      <c r="C15" s="417"/>
      <c r="D15" s="417"/>
      <c r="E15" s="417"/>
      <c r="F15" s="111" t="s">
        <v>24</v>
      </c>
      <c r="G15" s="111" t="s">
        <v>36</v>
      </c>
      <c r="H15" s="417"/>
      <c r="I15" s="417"/>
    </row>
    <row r="16" spans="1:9" s="60" customFormat="1" ht="13.5" thickBot="1">
      <c r="A16" s="415">
        <v>1</v>
      </c>
      <c r="B16" s="415"/>
      <c r="C16" s="113">
        <v>2</v>
      </c>
      <c r="D16" s="113">
        <v>3</v>
      </c>
      <c r="E16" s="113">
        <v>4</v>
      </c>
      <c r="F16" s="113">
        <v>5</v>
      </c>
      <c r="G16" s="113">
        <v>6</v>
      </c>
      <c r="H16" s="416">
        <v>7</v>
      </c>
      <c r="I16" s="416"/>
    </row>
    <row r="17" spans="2:9" s="165" customFormat="1" ht="13.5" thickTop="1">
      <c r="B17" s="169">
        <f>'2019-3 СВОД'!B71</f>
        <v>1112090</v>
      </c>
      <c r="C17" s="169" t="str">
        <f>'2019-3 СВОД'!C71</f>
        <v>Програма Спеціалізована амбулаторно-поліклінічна допомога населенню</v>
      </c>
      <c r="D17" s="166">
        <f>D18+D53</f>
        <v>6301.099999999999</v>
      </c>
      <c r="E17" s="166">
        <f>E18+E53</f>
        <v>9754.5</v>
      </c>
      <c r="F17" s="166">
        <f>F18+F53</f>
        <v>5439.4</v>
      </c>
      <c r="G17" s="166">
        <f>G18+G53</f>
        <v>4271.2</v>
      </c>
      <c r="H17" s="402"/>
      <c r="I17" s="402"/>
    </row>
    <row r="18" spans="1:9" ht="12.75" customHeight="1">
      <c r="A18" s="6"/>
      <c r="B18" s="27">
        <v>2000</v>
      </c>
      <c r="C18" s="28" t="s">
        <v>37</v>
      </c>
      <c r="D18" s="33">
        <f>D19+D24+D41+D44+D48+D52</f>
        <v>3867.9999999999995</v>
      </c>
      <c r="E18" s="33">
        <f>E19+E24+E41+E44+E48+E52</f>
        <v>4973.5</v>
      </c>
      <c r="F18" s="33">
        <f>F19+F24+F41+F44+F48+F52</f>
        <v>5439.4</v>
      </c>
      <c r="G18" s="33">
        <f>G19+G24+G41+G44+G48+G52</f>
        <v>271.2</v>
      </c>
      <c r="H18" s="402"/>
      <c r="I18" s="402"/>
    </row>
    <row r="19" spans="1:9" ht="12.75">
      <c r="A19" s="6"/>
      <c r="B19" s="29">
        <v>2100</v>
      </c>
      <c r="C19" s="30" t="s">
        <v>38</v>
      </c>
      <c r="D19" s="35">
        <f>D20+D23</f>
        <v>2904.7</v>
      </c>
      <c r="E19" s="35">
        <f>E20+E23</f>
        <v>3263.2</v>
      </c>
      <c r="F19" s="35">
        <f>F20+F23</f>
        <v>3587</v>
      </c>
      <c r="G19" s="35">
        <f>G20+G23</f>
        <v>271.2</v>
      </c>
      <c r="H19" s="419" t="s">
        <v>604</v>
      </c>
      <c r="I19" s="420"/>
    </row>
    <row r="20" spans="1:9" ht="12.75">
      <c r="A20" s="6"/>
      <c r="B20" s="29">
        <v>2110</v>
      </c>
      <c r="C20" s="30" t="s">
        <v>39</v>
      </c>
      <c r="D20" s="35">
        <f>D21+D22</f>
        <v>2391.1</v>
      </c>
      <c r="E20" s="35">
        <f>E21+E22</f>
        <v>2683.2</v>
      </c>
      <c r="F20" s="35">
        <f>F21+F22</f>
        <v>2940.2</v>
      </c>
      <c r="G20" s="35">
        <f>G21+G22</f>
        <v>222.3</v>
      </c>
      <c r="H20" s="421"/>
      <c r="I20" s="422"/>
    </row>
    <row r="21" spans="1:9" ht="12.75">
      <c r="A21" s="6"/>
      <c r="B21" s="29">
        <v>2111</v>
      </c>
      <c r="C21" s="30" t="s">
        <v>42</v>
      </c>
      <c r="D21" s="34">
        <f>'2019-3 СВОД'!D75</f>
        <v>2391.1</v>
      </c>
      <c r="E21" s="34">
        <f>'2019-3 СВОД'!E75</f>
        <v>2683.2</v>
      </c>
      <c r="F21" s="34">
        <f>'2019-3 СВОД'!F75</f>
        <v>2940.2</v>
      </c>
      <c r="G21" s="34">
        <f>'2019-3 СВОД'!G75</f>
        <v>222.3</v>
      </c>
      <c r="H21" s="421"/>
      <c r="I21" s="422"/>
    </row>
    <row r="22" spans="1:9" ht="12.75" customHeight="1" hidden="1">
      <c r="A22" s="6"/>
      <c r="B22" s="29">
        <v>2112</v>
      </c>
      <c r="C22" s="30" t="s">
        <v>43</v>
      </c>
      <c r="D22" s="34">
        <f>'2019-3 СВОД'!D76</f>
        <v>0</v>
      </c>
      <c r="E22" s="34">
        <f>'2019-3 СВОД'!E76</f>
        <v>0</v>
      </c>
      <c r="F22" s="34">
        <f>'2019-3 СВОД'!F76</f>
        <v>0</v>
      </c>
      <c r="G22" s="34">
        <f>'2019-3 СВОД'!G76</f>
        <v>0</v>
      </c>
      <c r="H22" s="421"/>
      <c r="I22" s="422"/>
    </row>
    <row r="23" spans="1:9" ht="12.75">
      <c r="A23" s="6"/>
      <c r="B23" s="29">
        <v>2120</v>
      </c>
      <c r="C23" s="30" t="s">
        <v>44</v>
      </c>
      <c r="D23" s="34">
        <f>'2019-3 СВОД'!D77</f>
        <v>513.6</v>
      </c>
      <c r="E23" s="34">
        <f>'2019-3 СВОД'!E77</f>
        <v>580</v>
      </c>
      <c r="F23" s="34">
        <f>'2019-3 СВОД'!F77</f>
        <v>646.8</v>
      </c>
      <c r="G23" s="34">
        <f>'2019-3 СВОД'!G77</f>
        <v>48.9</v>
      </c>
      <c r="H23" s="423"/>
      <c r="I23" s="424"/>
    </row>
    <row r="24" spans="1:9" ht="12.75" customHeight="1">
      <c r="A24" s="6"/>
      <c r="B24" s="27">
        <v>2200</v>
      </c>
      <c r="C24" s="28" t="s">
        <v>45</v>
      </c>
      <c r="D24" s="33">
        <f>SUM(D25:D31)+D38</f>
        <v>952.3999999999999</v>
      </c>
      <c r="E24" s="33">
        <f>SUM(E25:E31)+E38</f>
        <v>1710.3000000000002</v>
      </c>
      <c r="F24" s="33">
        <f>SUM(F25:F31)+F38</f>
        <v>1852.4</v>
      </c>
      <c r="G24" s="33">
        <f>SUM(G25:G31)+G38</f>
        <v>0</v>
      </c>
      <c r="H24" s="402"/>
      <c r="I24" s="402"/>
    </row>
    <row r="25" spans="1:9" ht="12.75">
      <c r="A25" s="6"/>
      <c r="B25" s="29">
        <v>2210</v>
      </c>
      <c r="C25" s="30" t="s">
        <v>46</v>
      </c>
      <c r="D25" s="34">
        <f>'2019-3 СВОД'!D79</f>
        <v>406.6</v>
      </c>
      <c r="E25" s="34">
        <f>'2019-3 СВОД'!E79</f>
        <v>489.2</v>
      </c>
      <c r="F25" s="34">
        <f>'2019-3 СВОД'!F79</f>
        <v>475.7</v>
      </c>
      <c r="G25" s="34">
        <f>'2019-3 СВОД'!G79</f>
        <v>0</v>
      </c>
      <c r="H25" s="402"/>
      <c r="I25" s="402"/>
    </row>
    <row r="26" spans="1:9" ht="12.75" customHeight="1">
      <c r="A26" s="6"/>
      <c r="B26" s="29">
        <v>2220</v>
      </c>
      <c r="C26" s="30" t="s">
        <v>47</v>
      </c>
      <c r="D26" s="34">
        <f>'2019-3 СВОД'!D80</f>
        <v>112.5</v>
      </c>
      <c r="E26" s="34">
        <f>'2019-3 СВОД'!E80</f>
        <v>244.6</v>
      </c>
      <c r="F26" s="34">
        <f>'2019-3 СВОД'!F80</f>
        <v>244.6</v>
      </c>
      <c r="G26" s="34">
        <f>'2019-3 СВОД'!G80</f>
        <v>0</v>
      </c>
      <c r="H26" s="402"/>
      <c r="I26" s="402"/>
    </row>
    <row r="27" spans="1:9" ht="12.75" customHeight="1" hidden="1">
      <c r="A27" s="6"/>
      <c r="B27" s="29">
        <v>2230</v>
      </c>
      <c r="C27" s="30" t="s">
        <v>48</v>
      </c>
      <c r="D27" s="34">
        <f>'2019-3 СВОД'!D81</f>
        <v>0</v>
      </c>
      <c r="E27" s="34">
        <f>'2019-3 СВОД'!E81</f>
        <v>0</v>
      </c>
      <c r="F27" s="34">
        <f>'2019-3 СВОД'!F81</f>
        <v>0</v>
      </c>
      <c r="G27" s="34">
        <f>'2019-3 СВОД'!G81</f>
        <v>0</v>
      </c>
      <c r="H27" s="402"/>
      <c r="I27" s="402"/>
    </row>
    <row r="28" spans="1:9" ht="12.75" customHeight="1">
      <c r="A28" s="6"/>
      <c r="B28" s="29">
        <v>2240</v>
      </c>
      <c r="C28" s="30" t="s">
        <v>49</v>
      </c>
      <c r="D28" s="34">
        <f>'2019-3 СВОД'!D82</f>
        <v>93.9</v>
      </c>
      <c r="E28" s="34">
        <f>'2019-3 СВОД'!E82</f>
        <v>68.1</v>
      </c>
      <c r="F28" s="34">
        <f>'2019-3 СВОД'!F82</f>
        <v>141.4</v>
      </c>
      <c r="G28" s="34">
        <f>'2019-3 СВОД'!G82</f>
        <v>0</v>
      </c>
      <c r="H28" s="402"/>
      <c r="I28" s="402"/>
    </row>
    <row r="29" spans="1:9" ht="12.75" customHeight="1">
      <c r="A29" s="6"/>
      <c r="B29" s="29">
        <v>2250</v>
      </c>
      <c r="C29" s="30" t="s">
        <v>50</v>
      </c>
      <c r="D29" s="34">
        <f>'2019-3 СВОД'!D83</f>
        <v>24.4</v>
      </c>
      <c r="E29" s="34">
        <f>'2019-3 СВОД'!E83</f>
        <v>40</v>
      </c>
      <c r="F29" s="34">
        <f>'2019-3 СВОД'!F83</f>
        <v>37.5</v>
      </c>
      <c r="G29" s="34">
        <f>'2019-3 СВОД'!G83</f>
        <v>0</v>
      </c>
      <c r="H29" s="402"/>
      <c r="I29" s="402"/>
    </row>
    <row r="30" spans="1:9" ht="12.75" customHeight="1" hidden="1">
      <c r="A30" s="6"/>
      <c r="B30" s="29">
        <v>2260</v>
      </c>
      <c r="C30" s="30" t="s">
        <v>51</v>
      </c>
      <c r="D30" s="34">
        <f>'2019-3 СВОД'!D84</f>
        <v>0</v>
      </c>
      <c r="E30" s="34">
        <f>'2019-3 СВОД'!E84</f>
        <v>0</v>
      </c>
      <c r="F30" s="34">
        <f>'2019-3 СВОД'!F84</f>
        <v>0</v>
      </c>
      <c r="G30" s="34">
        <f>'2019-3 СВОД'!G84</f>
        <v>0</v>
      </c>
      <c r="H30" s="402"/>
      <c r="I30" s="402"/>
    </row>
    <row r="31" spans="1:9" ht="12.75" customHeight="1">
      <c r="A31" s="6"/>
      <c r="B31" s="27">
        <v>2270</v>
      </c>
      <c r="C31" s="28" t="s">
        <v>52</v>
      </c>
      <c r="D31" s="33">
        <f>D32+D33+D34+D35+D36+D37</f>
        <v>313.2</v>
      </c>
      <c r="E31" s="33">
        <f>E32+E33+E34+E35+E36+E37</f>
        <v>854.9000000000001</v>
      </c>
      <c r="F31" s="33">
        <f>F32+F33+F34+F35+F36+F37</f>
        <v>933.7</v>
      </c>
      <c r="G31" s="33">
        <f>G32+G33+G34+G35+G36+G37</f>
        <v>0</v>
      </c>
      <c r="H31" s="402"/>
      <c r="I31" s="402"/>
    </row>
    <row r="32" spans="1:9" ht="12.75" customHeight="1">
      <c r="A32" s="6"/>
      <c r="B32" s="29">
        <v>2271</v>
      </c>
      <c r="C32" s="30" t="s">
        <v>53</v>
      </c>
      <c r="D32" s="34">
        <f>'2019-3 СВОД'!D86</f>
        <v>220.2</v>
      </c>
      <c r="E32" s="34">
        <f>'2019-3 СВОД'!E86</f>
        <v>613.2</v>
      </c>
      <c r="F32" s="34">
        <f>'2019-3 СВОД'!F86</f>
        <v>675</v>
      </c>
      <c r="G32" s="34">
        <f>'2019-3 СВОД'!G86</f>
        <v>0</v>
      </c>
      <c r="H32" s="402"/>
      <c r="I32" s="402"/>
    </row>
    <row r="33" spans="1:9" ht="12.75" customHeight="1">
      <c r="A33" s="6"/>
      <c r="B33" s="29">
        <v>2272</v>
      </c>
      <c r="C33" s="30" t="s">
        <v>54</v>
      </c>
      <c r="D33" s="34">
        <f>'2019-3 СВОД'!D87</f>
        <v>5.4</v>
      </c>
      <c r="E33" s="34">
        <f>'2019-3 СВОД'!E87</f>
        <v>77.7</v>
      </c>
      <c r="F33" s="34">
        <f>'2019-3 СВОД'!F87</f>
        <v>85.6</v>
      </c>
      <c r="G33" s="34">
        <f>'2019-3 СВОД'!G87</f>
        <v>0</v>
      </c>
      <c r="H33" s="402"/>
      <c r="I33" s="402"/>
    </row>
    <row r="34" spans="1:9" ht="12.75" customHeight="1">
      <c r="A34" s="6"/>
      <c r="B34" s="29">
        <v>2273</v>
      </c>
      <c r="C34" s="30" t="s">
        <v>55</v>
      </c>
      <c r="D34" s="34">
        <f>'2019-3 СВОД'!D88</f>
        <v>46.8</v>
      </c>
      <c r="E34" s="34">
        <f>'2019-3 СВОД'!E88</f>
        <v>93.2</v>
      </c>
      <c r="F34" s="34">
        <f>'2019-3 СВОД'!F88</f>
        <v>102.5</v>
      </c>
      <c r="G34" s="34">
        <f>'2019-3 СВОД'!G88</f>
        <v>0</v>
      </c>
      <c r="H34" s="402"/>
      <c r="I34" s="402"/>
    </row>
    <row r="35" spans="1:9" ht="12.75" customHeight="1">
      <c r="A35" s="6"/>
      <c r="B35" s="29">
        <v>2274</v>
      </c>
      <c r="C35" s="30" t="s">
        <v>56</v>
      </c>
      <c r="D35" s="34">
        <f>'2019-3 СВОД'!D89</f>
        <v>40.8</v>
      </c>
      <c r="E35" s="34">
        <f>'2019-3 СВОД'!E89</f>
        <v>70.8</v>
      </c>
      <c r="F35" s="34">
        <f>'2019-3 СВОД'!F89</f>
        <v>70.6</v>
      </c>
      <c r="G35" s="34">
        <f>'2019-3 СВОД'!G89</f>
        <v>0</v>
      </c>
      <c r="H35" s="402"/>
      <c r="I35" s="402"/>
    </row>
    <row r="36" spans="1:9" ht="12.75" customHeight="1" hidden="1">
      <c r="A36" s="6"/>
      <c r="B36" s="29">
        <v>2275</v>
      </c>
      <c r="C36" s="30" t="s">
        <v>57</v>
      </c>
      <c r="D36" s="34">
        <f>'2019-3 СВОД'!D90</f>
        <v>0</v>
      </c>
      <c r="E36" s="34">
        <f>'2019-3 СВОД'!E90</f>
        <v>0</v>
      </c>
      <c r="F36" s="34">
        <f>'2019-3 СВОД'!F90</f>
        <v>0</v>
      </c>
      <c r="G36" s="34">
        <f>'2019-3 СВОД'!G90</f>
        <v>0</v>
      </c>
      <c r="H36" s="402"/>
      <c r="I36" s="402"/>
    </row>
    <row r="37" spans="1:9" ht="12.75" customHeight="1" hidden="1">
      <c r="A37" s="6"/>
      <c r="B37" s="31">
        <v>2276</v>
      </c>
      <c r="C37" s="32" t="s">
        <v>58</v>
      </c>
      <c r="D37" s="34">
        <f>'2019-3 СВОД'!D91</f>
        <v>0</v>
      </c>
      <c r="E37" s="34">
        <f>'2019-3 СВОД'!E91</f>
        <v>0</v>
      </c>
      <c r="F37" s="34">
        <f>'2019-3 СВОД'!F91</f>
        <v>0</v>
      </c>
      <c r="G37" s="34">
        <f>'2019-3 СВОД'!G91</f>
        <v>0</v>
      </c>
      <c r="H37" s="402"/>
      <c r="I37" s="402"/>
    </row>
    <row r="38" spans="1:9" ht="12.75">
      <c r="A38" s="6"/>
      <c r="B38" s="27">
        <v>2280</v>
      </c>
      <c r="C38" s="28" t="s">
        <v>59</v>
      </c>
      <c r="D38" s="33">
        <f>D39+D40</f>
        <v>1.8</v>
      </c>
      <c r="E38" s="33">
        <f>E39+E40</f>
        <v>13.5</v>
      </c>
      <c r="F38" s="33">
        <f>F39+F40</f>
        <v>19.5</v>
      </c>
      <c r="G38" s="33">
        <f>G39+G40</f>
        <v>0</v>
      </c>
      <c r="H38" s="402"/>
      <c r="I38" s="402"/>
    </row>
    <row r="39" spans="1:9" ht="12.75" hidden="1">
      <c r="A39" s="6"/>
      <c r="B39" s="29">
        <v>2281</v>
      </c>
      <c r="C39" s="30" t="s">
        <v>60</v>
      </c>
      <c r="D39" s="34">
        <f>'2019-3 СВОД'!D93</f>
        <v>0</v>
      </c>
      <c r="E39" s="34">
        <f>'2019-3 СВОД'!E93</f>
        <v>0</v>
      </c>
      <c r="F39" s="34">
        <f>'2019-3 СВОД'!F93</f>
        <v>0</v>
      </c>
      <c r="G39" s="34">
        <f>'2019-3 СВОД'!G93</f>
        <v>0</v>
      </c>
      <c r="H39" s="402"/>
      <c r="I39" s="402"/>
    </row>
    <row r="40" spans="1:9" ht="12.75">
      <c r="A40" s="6"/>
      <c r="B40" s="29">
        <v>2282</v>
      </c>
      <c r="C40" s="30" t="s">
        <v>61</v>
      </c>
      <c r="D40" s="34">
        <f>'2019-3 СВОД'!D94</f>
        <v>1.8</v>
      </c>
      <c r="E40" s="34">
        <f>'2019-3 СВОД'!E94</f>
        <v>13.5</v>
      </c>
      <c r="F40" s="34">
        <f>'2019-3 СВОД'!F94</f>
        <v>19.5</v>
      </c>
      <c r="G40" s="34">
        <f>'2019-3 СВОД'!G94</f>
        <v>0</v>
      </c>
      <c r="H40" s="402"/>
      <c r="I40" s="402"/>
    </row>
    <row r="41" spans="1:9" ht="12.75" customHeight="1" hidden="1">
      <c r="A41" s="6"/>
      <c r="B41" s="27">
        <v>2400</v>
      </c>
      <c r="C41" s="28" t="s">
        <v>62</v>
      </c>
      <c r="D41" s="34">
        <f>D42+D43</f>
        <v>0</v>
      </c>
      <c r="E41" s="34">
        <f>E42+E43</f>
        <v>0</v>
      </c>
      <c r="F41" s="34">
        <f>F42+F43</f>
        <v>0</v>
      </c>
      <c r="G41" s="34">
        <f>G42+G43</f>
        <v>0</v>
      </c>
      <c r="H41" s="402"/>
      <c r="I41" s="402"/>
    </row>
    <row r="42" spans="1:9" ht="12.75" customHeight="1" hidden="1">
      <c r="A42" s="6"/>
      <c r="B42" s="29">
        <v>2410</v>
      </c>
      <c r="C42" s="30" t="s">
        <v>63</v>
      </c>
      <c r="D42" s="34">
        <f>'2019-3 СВОД'!D96</f>
        <v>0</v>
      </c>
      <c r="E42" s="34">
        <f>'2019-3 СВОД'!E96</f>
        <v>0</v>
      </c>
      <c r="F42" s="34">
        <f>'2019-3 СВОД'!F96</f>
        <v>0</v>
      </c>
      <c r="G42" s="34">
        <f>'2019-3 СВОД'!G96</f>
        <v>0</v>
      </c>
      <c r="H42" s="402"/>
      <c r="I42" s="402"/>
    </row>
    <row r="43" spans="1:9" ht="12.75" customHeight="1" hidden="1">
      <c r="A43" s="6"/>
      <c r="B43" s="29">
        <v>2420</v>
      </c>
      <c r="C43" s="30" t="s">
        <v>64</v>
      </c>
      <c r="D43" s="34">
        <f>'2019-3 СВОД'!D97</f>
        <v>0</v>
      </c>
      <c r="E43" s="34">
        <f>'2019-3 СВОД'!E97</f>
        <v>0</v>
      </c>
      <c r="F43" s="34">
        <f>'2019-3 СВОД'!F97</f>
        <v>0</v>
      </c>
      <c r="G43" s="34">
        <f>'2019-3 СВОД'!G97</f>
        <v>0</v>
      </c>
      <c r="H43" s="402"/>
      <c r="I43" s="402"/>
    </row>
    <row r="44" spans="1:9" ht="12.75" customHeight="1" hidden="1">
      <c r="A44" s="6"/>
      <c r="B44" s="27">
        <v>2600</v>
      </c>
      <c r="C44" s="28" t="s">
        <v>65</v>
      </c>
      <c r="D44" s="33">
        <f>D45+D46+D47</f>
        <v>0</v>
      </c>
      <c r="E44" s="33">
        <f>E45+E46+E47</f>
        <v>0</v>
      </c>
      <c r="F44" s="33">
        <f>F45+F46+F47</f>
        <v>0</v>
      </c>
      <c r="G44" s="33">
        <f>G45+G46+G47</f>
        <v>0</v>
      </c>
      <c r="H44" s="402"/>
      <c r="I44" s="402"/>
    </row>
    <row r="45" spans="1:9" ht="12.75" hidden="1">
      <c r="A45" s="6"/>
      <c r="B45" s="29">
        <v>2610</v>
      </c>
      <c r="C45" s="30" t="s">
        <v>66</v>
      </c>
      <c r="D45" s="34">
        <f>'2019-3 СВОД'!D99</f>
        <v>0</v>
      </c>
      <c r="E45" s="34">
        <f>'2019-3 СВОД'!E99</f>
        <v>0</v>
      </c>
      <c r="F45" s="34">
        <f>'2019-3 СВОД'!F99</f>
        <v>0</v>
      </c>
      <c r="G45" s="34">
        <f>'2019-3 СВОД'!G99</f>
        <v>0</v>
      </c>
      <c r="H45" s="402"/>
      <c r="I45" s="402"/>
    </row>
    <row r="46" spans="1:9" ht="12.75" customHeight="1" hidden="1">
      <c r="A46" s="6"/>
      <c r="B46" s="29">
        <v>2620</v>
      </c>
      <c r="C46" s="30" t="s">
        <v>67</v>
      </c>
      <c r="D46" s="34">
        <f>'2019-3 СВОД'!D100</f>
        <v>0</v>
      </c>
      <c r="E46" s="34">
        <f>'2019-3 СВОД'!E100</f>
        <v>0</v>
      </c>
      <c r="F46" s="34">
        <f>'2019-3 СВОД'!F100</f>
        <v>0</v>
      </c>
      <c r="G46" s="34">
        <f>'2019-3 СВОД'!G100</f>
        <v>0</v>
      </c>
      <c r="H46" s="402"/>
      <c r="I46" s="402"/>
    </row>
    <row r="47" spans="1:9" ht="12.75" hidden="1">
      <c r="A47" s="6"/>
      <c r="B47" s="29">
        <v>2630</v>
      </c>
      <c r="C47" s="30" t="s">
        <v>68</v>
      </c>
      <c r="D47" s="34">
        <f>'2019-3 СВОД'!D101</f>
        <v>0</v>
      </c>
      <c r="E47" s="34">
        <f>'2019-3 СВОД'!E101</f>
        <v>0</v>
      </c>
      <c r="F47" s="34">
        <f>'2019-3 СВОД'!F101</f>
        <v>0</v>
      </c>
      <c r="G47" s="34">
        <f>'2019-3 СВОД'!G101</f>
        <v>0</v>
      </c>
      <c r="H47" s="402"/>
      <c r="I47" s="402"/>
    </row>
    <row r="48" spans="1:9" ht="12.75" customHeight="1" hidden="1">
      <c r="A48" s="6"/>
      <c r="B48" s="27">
        <v>2700</v>
      </c>
      <c r="C48" s="28" t="s">
        <v>69</v>
      </c>
      <c r="D48" s="33">
        <f>D49+D50+D51</f>
        <v>0</v>
      </c>
      <c r="E48" s="33">
        <f>E49+E50+E51</f>
        <v>0</v>
      </c>
      <c r="F48" s="33">
        <f>F49+F50+F51</f>
        <v>0</v>
      </c>
      <c r="G48" s="33">
        <f>G49+G50+G51</f>
        <v>0</v>
      </c>
      <c r="H48" s="402"/>
      <c r="I48" s="402"/>
    </row>
    <row r="49" spans="1:9" ht="12.75" customHeight="1" hidden="1">
      <c r="A49" s="6"/>
      <c r="B49" s="29">
        <v>2710</v>
      </c>
      <c r="C49" s="30" t="s">
        <v>70</v>
      </c>
      <c r="D49" s="34">
        <f>'2019-3 СВОД'!D103</f>
        <v>0</v>
      </c>
      <c r="E49" s="34">
        <f>'2019-3 СВОД'!E103</f>
        <v>0</v>
      </c>
      <c r="F49" s="34">
        <f>'2019-3 СВОД'!F103</f>
        <v>0</v>
      </c>
      <c r="G49" s="34">
        <f>'2019-3 СВОД'!G103</f>
        <v>0</v>
      </c>
      <c r="H49" s="402"/>
      <c r="I49" s="402"/>
    </row>
    <row r="50" spans="1:9" ht="12.75" customHeight="1" hidden="1">
      <c r="A50" s="6"/>
      <c r="B50" s="29">
        <v>2720</v>
      </c>
      <c r="C50" s="30" t="s">
        <v>71</v>
      </c>
      <c r="D50" s="34">
        <f>'2019-3 СВОД'!D104</f>
        <v>0</v>
      </c>
      <c r="E50" s="34">
        <f>'2019-3 СВОД'!E104</f>
        <v>0</v>
      </c>
      <c r="F50" s="34">
        <f>'2019-3 СВОД'!F104</f>
        <v>0</v>
      </c>
      <c r="G50" s="34">
        <f>'2019-3 СВОД'!G104</f>
        <v>0</v>
      </c>
      <c r="H50" s="402"/>
      <c r="I50" s="402"/>
    </row>
    <row r="51" spans="1:9" ht="12.75" customHeight="1" hidden="1">
      <c r="A51" s="6"/>
      <c r="B51" s="29">
        <v>2730</v>
      </c>
      <c r="C51" s="30" t="s">
        <v>72</v>
      </c>
      <c r="D51" s="34">
        <f>'2019-3 СВОД'!D105</f>
        <v>0</v>
      </c>
      <c r="E51" s="34">
        <f>'2019-3 СВОД'!E105</f>
        <v>0</v>
      </c>
      <c r="F51" s="34">
        <f>'2019-3 СВОД'!F105</f>
        <v>0</v>
      </c>
      <c r="G51" s="34">
        <f>'2019-3 СВОД'!G105</f>
        <v>0</v>
      </c>
      <c r="H51" s="402"/>
      <c r="I51" s="402"/>
    </row>
    <row r="52" spans="1:9" ht="12.75" customHeight="1">
      <c r="A52" s="6"/>
      <c r="B52" s="27">
        <v>2800</v>
      </c>
      <c r="C52" s="28" t="s">
        <v>73</v>
      </c>
      <c r="D52" s="34">
        <f>'2019-3 СВОД'!D106</f>
        <v>10.9</v>
      </c>
      <c r="E52" s="34">
        <f>'2019-3 СВОД'!E106</f>
        <v>0</v>
      </c>
      <c r="F52" s="34">
        <f>'2019-3 СВОД'!F106</f>
        <v>0</v>
      </c>
      <c r="G52" s="34">
        <f>'2019-3 СВОД'!G106</f>
        <v>0</v>
      </c>
      <c r="H52" s="402"/>
      <c r="I52" s="402"/>
    </row>
    <row r="53" spans="1:9" ht="12.75">
      <c r="A53" s="21"/>
      <c r="B53" s="27">
        <v>3000</v>
      </c>
      <c r="C53" s="28" t="s">
        <v>40</v>
      </c>
      <c r="D53" s="40">
        <f>D54+D68</f>
        <v>2433.1</v>
      </c>
      <c r="E53" s="40">
        <f>E54+E68</f>
        <v>4781</v>
      </c>
      <c r="F53" s="40">
        <f>F54+F68</f>
        <v>0</v>
      </c>
      <c r="G53" s="40">
        <f>G54+G68</f>
        <v>4000</v>
      </c>
      <c r="H53" s="419" t="s">
        <v>603</v>
      </c>
      <c r="I53" s="420"/>
    </row>
    <row r="54" spans="1:9" ht="12.75">
      <c r="A54" s="21"/>
      <c r="B54" s="27">
        <v>3100</v>
      </c>
      <c r="C54" s="28" t="s">
        <v>41</v>
      </c>
      <c r="D54" s="40">
        <f>D55+D56+D59+D62+D66+D67+D68</f>
        <v>2433.1</v>
      </c>
      <c r="E54" s="40">
        <f>E55+E56+E59+E62+E66+E67+E68</f>
        <v>4781</v>
      </c>
      <c r="F54" s="40">
        <f>F55+F56+F59+F62+F66+F67+F68</f>
        <v>0</v>
      </c>
      <c r="G54" s="40">
        <f>G55+G56+G59+G62+G66+G67+G68</f>
        <v>4000</v>
      </c>
      <c r="H54" s="421"/>
      <c r="I54" s="422"/>
    </row>
    <row r="55" spans="1:9" ht="12.75">
      <c r="A55" s="21"/>
      <c r="B55" s="29">
        <v>3110</v>
      </c>
      <c r="C55" s="30" t="s">
        <v>74</v>
      </c>
      <c r="D55" s="34">
        <f>'2019-3 СВОД'!D109</f>
        <v>2433.1</v>
      </c>
      <c r="E55" s="34">
        <f>'2019-3 СВОД'!E109</f>
        <v>4781</v>
      </c>
      <c r="F55" s="34">
        <f>'2019-3 СВОД'!F109</f>
        <v>0</v>
      </c>
      <c r="G55" s="34">
        <f>'2019-3 СВОД'!G109</f>
        <v>4000</v>
      </c>
      <c r="H55" s="423"/>
      <c r="I55" s="424"/>
    </row>
    <row r="56" spans="1:9" ht="12.75" hidden="1">
      <c r="A56" s="21"/>
      <c r="B56" s="29">
        <v>3120</v>
      </c>
      <c r="C56" s="30" t="s">
        <v>75</v>
      </c>
      <c r="D56" s="40">
        <f>D57+D58</f>
        <v>0</v>
      </c>
      <c r="E56" s="40">
        <f>E57+E58</f>
        <v>0</v>
      </c>
      <c r="F56" s="40">
        <f>F57+F58</f>
        <v>0</v>
      </c>
      <c r="G56" s="40">
        <f>G57+G58</f>
        <v>0</v>
      </c>
      <c r="H56" s="402"/>
      <c r="I56" s="402"/>
    </row>
    <row r="57" spans="1:9" ht="12.75" hidden="1">
      <c r="A57" s="21"/>
      <c r="B57" s="29">
        <v>3121</v>
      </c>
      <c r="C57" s="30" t="s">
        <v>76</v>
      </c>
      <c r="D57" s="34">
        <f>'2019-3 СВОД'!D111</f>
        <v>0</v>
      </c>
      <c r="E57" s="34">
        <f>'2019-3 СВОД'!E111</f>
        <v>0</v>
      </c>
      <c r="F57" s="34">
        <f>'2019-3 СВОД'!F111</f>
        <v>0</v>
      </c>
      <c r="G57" s="34">
        <f>'2019-3 СВОД'!G111</f>
        <v>0</v>
      </c>
      <c r="H57" s="402"/>
      <c r="I57" s="402"/>
    </row>
    <row r="58" spans="1:9" ht="12.75" hidden="1">
      <c r="A58" s="21"/>
      <c r="B58" s="29">
        <v>3122</v>
      </c>
      <c r="C58" s="30" t="s">
        <v>77</v>
      </c>
      <c r="D58" s="34">
        <f>'2019-3 СВОД'!D112</f>
        <v>0</v>
      </c>
      <c r="E58" s="34">
        <f>'2019-3 СВОД'!E112</f>
        <v>0</v>
      </c>
      <c r="F58" s="34">
        <f>'2019-3 СВОД'!F112</f>
        <v>0</v>
      </c>
      <c r="G58" s="34">
        <f>'2019-3 СВОД'!G112</f>
        <v>0</v>
      </c>
      <c r="H58" s="402"/>
      <c r="I58" s="402"/>
    </row>
    <row r="59" spans="1:9" ht="12.75" hidden="1">
      <c r="A59" s="21"/>
      <c r="B59" s="29">
        <v>3130</v>
      </c>
      <c r="C59" s="30" t="s">
        <v>78</v>
      </c>
      <c r="D59" s="40">
        <f>D60+D61</f>
        <v>0</v>
      </c>
      <c r="E59" s="40">
        <f>E60+E61</f>
        <v>0</v>
      </c>
      <c r="F59" s="40">
        <f>F60+F61</f>
        <v>0</v>
      </c>
      <c r="G59" s="40">
        <f>G60+G61</f>
        <v>0</v>
      </c>
      <c r="H59" s="402"/>
      <c r="I59" s="402"/>
    </row>
    <row r="60" spans="1:9" ht="12.75" hidden="1">
      <c r="A60" s="21"/>
      <c r="B60" s="29">
        <v>3131</v>
      </c>
      <c r="C60" s="30" t="s">
        <v>79</v>
      </c>
      <c r="D60" s="34">
        <f>'2019-3 СВОД'!D114</f>
        <v>0</v>
      </c>
      <c r="E60" s="34">
        <f>'2019-3 СВОД'!E114</f>
        <v>0</v>
      </c>
      <c r="F60" s="34">
        <f>'2019-3 СВОД'!F114</f>
        <v>0</v>
      </c>
      <c r="G60" s="34">
        <f>'2019-3 СВОД'!G114</f>
        <v>0</v>
      </c>
      <c r="H60" s="402"/>
      <c r="I60" s="402"/>
    </row>
    <row r="61" spans="1:9" ht="12.75" hidden="1">
      <c r="A61" s="21"/>
      <c r="B61" s="29">
        <v>3132</v>
      </c>
      <c r="C61" s="30" t="s">
        <v>80</v>
      </c>
      <c r="D61" s="34">
        <f>'2019-3 СВОД'!D115</f>
        <v>0</v>
      </c>
      <c r="E61" s="34">
        <f>'2019-3 СВОД'!E115</f>
        <v>0</v>
      </c>
      <c r="F61" s="34">
        <f>'2019-3 СВОД'!F115</f>
        <v>0</v>
      </c>
      <c r="G61" s="34">
        <f>'2019-3 СВОД'!G115</f>
        <v>0</v>
      </c>
      <c r="H61" s="402"/>
      <c r="I61" s="402"/>
    </row>
    <row r="62" spans="1:9" ht="12.75" hidden="1">
      <c r="A62" s="21"/>
      <c r="B62" s="29">
        <v>3140</v>
      </c>
      <c r="C62" s="30" t="s">
        <v>81</v>
      </c>
      <c r="D62" s="40">
        <f>D63+D64+D65</f>
        <v>0</v>
      </c>
      <c r="E62" s="40">
        <f>E63+E64+E65</f>
        <v>0</v>
      </c>
      <c r="F62" s="40">
        <f>F63+F64+F65</f>
        <v>0</v>
      </c>
      <c r="G62" s="40">
        <f>G63+G64+G65</f>
        <v>0</v>
      </c>
      <c r="H62" s="402"/>
      <c r="I62" s="402"/>
    </row>
    <row r="63" spans="1:9" ht="12.75" hidden="1">
      <c r="A63" s="21"/>
      <c r="B63" s="29">
        <v>3141</v>
      </c>
      <c r="C63" s="30" t="s">
        <v>82</v>
      </c>
      <c r="D63" s="34">
        <f>'2019-3 СВОД'!D117</f>
        <v>0</v>
      </c>
      <c r="E63" s="34">
        <f>'2019-3 СВОД'!E117</f>
        <v>0</v>
      </c>
      <c r="F63" s="34">
        <f>'2019-3 СВОД'!F117</f>
        <v>0</v>
      </c>
      <c r="G63" s="34">
        <f>'2019-3 СВОД'!G117</f>
        <v>0</v>
      </c>
      <c r="H63" s="402"/>
      <c r="I63" s="402"/>
    </row>
    <row r="64" spans="1:9" ht="12.75" hidden="1">
      <c r="A64" s="21"/>
      <c r="B64" s="29">
        <v>3142</v>
      </c>
      <c r="C64" s="30" t="s">
        <v>83</v>
      </c>
      <c r="D64" s="34">
        <f>'2019-3 СВОД'!D118</f>
        <v>0</v>
      </c>
      <c r="E64" s="34">
        <f>'2019-3 СВОД'!E118</f>
        <v>0</v>
      </c>
      <c r="F64" s="34">
        <f>'2019-3 СВОД'!F118</f>
        <v>0</v>
      </c>
      <c r="G64" s="34">
        <f>'2019-3 СВОД'!G118</f>
        <v>0</v>
      </c>
      <c r="H64" s="402"/>
      <c r="I64" s="402"/>
    </row>
    <row r="65" spans="1:9" ht="12.75" hidden="1">
      <c r="A65" s="21"/>
      <c r="B65" s="29">
        <v>3143</v>
      </c>
      <c r="C65" s="30" t="s">
        <v>84</v>
      </c>
      <c r="D65" s="34">
        <f>'2019-3 СВОД'!D119</f>
        <v>0</v>
      </c>
      <c r="E65" s="34">
        <f>'2019-3 СВОД'!E119</f>
        <v>0</v>
      </c>
      <c r="F65" s="34">
        <f>'2019-3 СВОД'!F119</f>
        <v>0</v>
      </c>
      <c r="G65" s="34">
        <f>'2019-3 СВОД'!G119</f>
        <v>0</v>
      </c>
      <c r="H65" s="402"/>
      <c r="I65" s="402"/>
    </row>
    <row r="66" spans="1:9" ht="12.75" hidden="1">
      <c r="A66" s="21"/>
      <c r="B66" s="29">
        <v>3150</v>
      </c>
      <c r="C66" s="30" t="s">
        <v>85</v>
      </c>
      <c r="D66" s="34">
        <f>'2019-3 СВОД'!D120</f>
        <v>0</v>
      </c>
      <c r="E66" s="34">
        <f>'2019-3 СВОД'!E120</f>
        <v>0</v>
      </c>
      <c r="F66" s="34">
        <f>'2019-3 СВОД'!F120</f>
        <v>0</v>
      </c>
      <c r="G66" s="34">
        <f>'2019-3 СВОД'!G120</f>
        <v>0</v>
      </c>
      <c r="H66" s="402"/>
      <c r="I66" s="402"/>
    </row>
    <row r="67" spans="1:9" ht="12.75" hidden="1">
      <c r="A67" s="21"/>
      <c r="B67" s="29">
        <v>3160</v>
      </c>
      <c r="C67" s="30" t="s">
        <v>86</v>
      </c>
      <c r="D67" s="34">
        <f>'2019-3 СВОД'!D121</f>
        <v>0</v>
      </c>
      <c r="E67" s="34">
        <f>'2019-3 СВОД'!E121</f>
        <v>0</v>
      </c>
      <c r="F67" s="34">
        <f>'2019-3 СВОД'!F121</f>
        <v>0</v>
      </c>
      <c r="G67" s="34">
        <f>'2019-3 СВОД'!G121</f>
        <v>0</v>
      </c>
      <c r="H67" s="402"/>
      <c r="I67" s="402"/>
    </row>
    <row r="68" spans="1:9" ht="12.75" hidden="1">
      <c r="A68" s="21"/>
      <c r="B68" s="27">
        <v>3200</v>
      </c>
      <c r="C68" s="28" t="s">
        <v>87</v>
      </c>
      <c r="D68" s="40">
        <f>D69+D70+D71+D72</f>
        <v>0</v>
      </c>
      <c r="E68" s="40">
        <f>E69+E70+E71+E72</f>
        <v>0</v>
      </c>
      <c r="F68" s="40">
        <f>F69+F70+F71+F72</f>
        <v>0</v>
      </c>
      <c r="G68" s="40">
        <f>G69+G70+G71+G72</f>
        <v>0</v>
      </c>
      <c r="H68" s="402"/>
      <c r="I68" s="402"/>
    </row>
    <row r="69" spans="1:9" ht="12.75" hidden="1">
      <c r="A69" s="21"/>
      <c r="B69" s="29">
        <v>3210</v>
      </c>
      <c r="C69" s="30" t="s">
        <v>88</v>
      </c>
      <c r="D69" s="34">
        <f>'2019-3 СВОД'!D123</f>
        <v>0</v>
      </c>
      <c r="E69" s="34">
        <f>'2019-3 СВОД'!E123</f>
        <v>0</v>
      </c>
      <c r="F69" s="34">
        <f>'2019-3 СВОД'!F123</f>
        <v>0</v>
      </c>
      <c r="G69" s="34">
        <f>'2019-3 СВОД'!G123</f>
        <v>0</v>
      </c>
      <c r="H69" s="402"/>
      <c r="I69" s="402"/>
    </row>
    <row r="70" spans="1:9" ht="12.75" hidden="1">
      <c r="A70" s="21"/>
      <c r="B70" s="29">
        <v>3220</v>
      </c>
      <c r="C70" s="30" t="s">
        <v>89</v>
      </c>
      <c r="D70" s="34">
        <f>'2019-3 СВОД'!D124</f>
        <v>0</v>
      </c>
      <c r="E70" s="34">
        <f>'2019-3 СВОД'!E124</f>
        <v>0</v>
      </c>
      <c r="F70" s="34">
        <f>'2019-3 СВОД'!F124</f>
        <v>0</v>
      </c>
      <c r="G70" s="34">
        <f>'2019-3 СВОД'!G124</f>
        <v>0</v>
      </c>
      <c r="H70" s="402"/>
      <c r="I70" s="402"/>
    </row>
    <row r="71" spans="1:9" ht="12.75" hidden="1">
      <c r="A71" s="21"/>
      <c r="B71" s="29">
        <v>3230</v>
      </c>
      <c r="C71" s="30" t="s">
        <v>90</v>
      </c>
      <c r="D71" s="34">
        <f>'2019-3 СВОД'!D125</f>
        <v>0</v>
      </c>
      <c r="E71" s="34">
        <f>'2019-3 СВОД'!E125</f>
        <v>0</v>
      </c>
      <c r="F71" s="34">
        <f>'2019-3 СВОД'!F125</f>
        <v>0</v>
      </c>
      <c r="G71" s="34">
        <f>'2019-3 СВОД'!G125</f>
        <v>0</v>
      </c>
      <c r="H71" s="402"/>
      <c r="I71" s="402"/>
    </row>
    <row r="72" spans="1:9" ht="13.5" customHeight="1" hidden="1">
      <c r="A72" s="21"/>
      <c r="B72" s="29">
        <v>3240</v>
      </c>
      <c r="C72" s="30" t="s">
        <v>91</v>
      </c>
      <c r="D72" s="34">
        <f>'2019-3 СВОД'!D126</f>
        <v>0</v>
      </c>
      <c r="E72" s="34">
        <f>'2019-3 СВОД'!E126</f>
        <v>0</v>
      </c>
      <c r="F72" s="34">
        <f>'2019-3 СВОД'!F126</f>
        <v>0</v>
      </c>
      <c r="G72" s="34">
        <f>'2019-3 СВОД'!G126</f>
        <v>0</v>
      </c>
      <c r="H72" s="402"/>
      <c r="I72" s="402"/>
    </row>
    <row r="73" spans="1:9" s="19" customFormat="1" ht="13.5" customHeight="1">
      <c r="A73" s="7"/>
      <c r="B73" s="7"/>
      <c r="C73" s="20" t="s">
        <v>3</v>
      </c>
      <c r="D73" s="34">
        <f>D18+D53</f>
        <v>6301.099999999999</v>
      </c>
      <c r="E73" s="34">
        <f>E18+E53</f>
        <v>9754.5</v>
      </c>
      <c r="F73" s="34">
        <f>F18+F53</f>
        <v>5439.4</v>
      </c>
      <c r="G73" s="34">
        <f>G18+G53</f>
        <v>4271.2</v>
      </c>
      <c r="H73" s="402"/>
      <c r="I73" s="402"/>
    </row>
    <row r="74" spans="1:8" ht="15">
      <c r="A74" s="115" t="s">
        <v>209</v>
      </c>
      <c r="B74" s="115" t="s">
        <v>209</v>
      </c>
      <c r="C74" s="115"/>
      <c r="D74" s="115"/>
      <c r="E74" s="115"/>
      <c r="F74" s="115"/>
      <c r="G74" s="115"/>
      <c r="H74" s="121"/>
    </row>
    <row r="75" spans="1:9" ht="15" customHeight="1">
      <c r="A75" s="444" t="s">
        <v>25</v>
      </c>
      <c r="B75" s="444"/>
      <c r="C75" s="444"/>
      <c r="D75" s="444"/>
      <c r="E75" s="444"/>
      <c r="F75" s="444"/>
      <c r="G75" s="444"/>
      <c r="H75" s="444"/>
      <c r="I75" s="444"/>
    </row>
    <row r="76" spans="1:9" ht="30" customHeight="1">
      <c r="A76" s="14" t="s">
        <v>20</v>
      </c>
      <c r="B76" s="8" t="s">
        <v>0</v>
      </c>
      <c r="C76" s="14" t="s">
        <v>1</v>
      </c>
      <c r="D76" s="14" t="s">
        <v>14</v>
      </c>
      <c r="E76" s="441" t="s">
        <v>15</v>
      </c>
      <c r="F76" s="441"/>
      <c r="G76" s="441"/>
      <c r="H76" s="14" t="s">
        <v>214</v>
      </c>
      <c r="I76" s="14" t="s">
        <v>215</v>
      </c>
    </row>
    <row r="77" spans="1:9" ht="13.5" thickBot="1">
      <c r="A77" s="17">
        <v>1</v>
      </c>
      <c r="B77" s="17">
        <v>1</v>
      </c>
      <c r="C77" s="38">
        <v>2</v>
      </c>
      <c r="D77" s="38">
        <v>3</v>
      </c>
      <c r="E77" s="427">
        <v>4</v>
      </c>
      <c r="F77" s="427"/>
      <c r="G77" s="427"/>
      <c r="H77" s="38">
        <v>5</v>
      </c>
      <c r="I77" s="38">
        <v>6</v>
      </c>
    </row>
    <row r="78" spans="1:9" s="55" customFormat="1" ht="13.5" thickTop="1">
      <c r="A78" s="54"/>
      <c r="B78" s="167">
        <f>B17</f>
        <v>1112090</v>
      </c>
      <c r="C78" s="182" t="str">
        <f>C17</f>
        <v>Програма Спеціалізована амбулаторно-поліклінічна допомога населенню</v>
      </c>
      <c r="D78" s="114"/>
      <c r="E78" s="451"/>
      <c r="F78" s="451"/>
      <c r="G78" s="451"/>
      <c r="H78" s="114"/>
      <c r="I78" s="114"/>
    </row>
    <row r="79" spans="1:9" s="153" customFormat="1" ht="12.75">
      <c r="A79" s="68"/>
      <c r="B79" s="69"/>
      <c r="C79" s="455" t="s">
        <v>253</v>
      </c>
      <c r="D79" s="456"/>
      <c r="E79" s="456"/>
      <c r="F79" s="456"/>
      <c r="G79" s="456"/>
      <c r="H79" s="456"/>
      <c r="I79" s="457"/>
    </row>
    <row r="80" spans="1:9" s="60" customFormat="1" ht="13.5">
      <c r="A80" s="58"/>
      <c r="B80" s="39"/>
      <c r="C80" s="183" t="s">
        <v>126</v>
      </c>
      <c r="D80" s="184" t="s">
        <v>125</v>
      </c>
      <c r="E80" s="427"/>
      <c r="F80" s="427"/>
      <c r="G80" s="427"/>
      <c r="H80" s="59"/>
      <c r="I80" s="59"/>
    </row>
    <row r="81" spans="1:9" s="60" customFormat="1" ht="13.5" customHeight="1">
      <c r="A81" s="58"/>
      <c r="B81" s="39"/>
      <c r="C81" s="185" t="s">
        <v>254</v>
      </c>
      <c r="D81" s="186" t="s">
        <v>124</v>
      </c>
      <c r="E81" s="461" t="s">
        <v>128</v>
      </c>
      <c r="F81" s="462"/>
      <c r="G81" s="463"/>
      <c r="H81" s="59">
        <v>1</v>
      </c>
      <c r="I81" s="59">
        <v>1</v>
      </c>
    </row>
    <row r="82" spans="1:9" s="60" customFormat="1" ht="13.5" customHeight="1">
      <c r="A82" s="58"/>
      <c r="B82" s="39"/>
      <c r="C82" s="185" t="s">
        <v>255</v>
      </c>
      <c r="D82" s="186" t="s">
        <v>124</v>
      </c>
      <c r="E82" s="461" t="s">
        <v>130</v>
      </c>
      <c r="F82" s="462"/>
      <c r="G82" s="463"/>
      <c r="H82" s="59">
        <v>49.5</v>
      </c>
      <c r="I82" s="59">
        <f>H82</f>
        <v>49.5</v>
      </c>
    </row>
    <row r="83" spans="1:9" s="60" customFormat="1" ht="13.5" customHeight="1">
      <c r="A83" s="58"/>
      <c r="B83" s="39"/>
      <c r="C83" s="185" t="s">
        <v>256</v>
      </c>
      <c r="D83" s="186" t="s">
        <v>124</v>
      </c>
      <c r="E83" s="461" t="s">
        <v>130</v>
      </c>
      <c r="F83" s="462"/>
      <c r="G83" s="463"/>
      <c r="H83" s="59">
        <v>22</v>
      </c>
      <c r="I83" s="59">
        <f>H83</f>
        <v>22</v>
      </c>
    </row>
    <row r="84" spans="1:9" s="60" customFormat="1" ht="13.5" customHeight="1">
      <c r="A84" s="58"/>
      <c r="B84" s="39"/>
      <c r="C84" s="183" t="s">
        <v>136</v>
      </c>
      <c r="D84" s="184" t="s">
        <v>125</v>
      </c>
      <c r="E84" s="458" t="s">
        <v>125</v>
      </c>
      <c r="F84" s="459"/>
      <c r="G84" s="460"/>
      <c r="H84" s="59" t="s">
        <v>125</v>
      </c>
      <c r="I84" s="59" t="str">
        <f>H84</f>
        <v>-</v>
      </c>
    </row>
    <row r="85" spans="1:9" s="60" customFormat="1" ht="13.5" customHeight="1">
      <c r="A85" s="58"/>
      <c r="B85" s="39"/>
      <c r="C85" s="185" t="s">
        <v>257</v>
      </c>
      <c r="D85" s="186" t="s">
        <v>258</v>
      </c>
      <c r="E85" s="461" t="s">
        <v>262</v>
      </c>
      <c r="F85" s="462"/>
      <c r="G85" s="463"/>
      <c r="H85" s="59">
        <v>10.9</v>
      </c>
      <c r="I85" s="59">
        <f>H85+0.5</f>
        <v>11.4</v>
      </c>
    </row>
    <row r="86" spans="1:9" s="60" customFormat="1" ht="13.5" customHeight="1">
      <c r="A86" s="58"/>
      <c r="B86" s="39"/>
      <c r="C86" s="183" t="s">
        <v>143</v>
      </c>
      <c r="D86" s="184" t="s">
        <v>125</v>
      </c>
      <c r="E86" s="458" t="s">
        <v>125</v>
      </c>
      <c r="F86" s="459"/>
      <c r="G86" s="460"/>
      <c r="H86" s="59" t="s">
        <v>125</v>
      </c>
      <c r="I86" s="59" t="str">
        <f>H86</f>
        <v>-</v>
      </c>
    </row>
    <row r="87" spans="1:9" s="60" customFormat="1" ht="13.5" customHeight="1">
      <c r="A87" s="58"/>
      <c r="B87" s="39"/>
      <c r="C87" s="185" t="s">
        <v>259</v>
      </c>
      <c r="D87" s="187" t="s">
        <v>260</v>
      </c>
      <c r="E87" s="461" t="s">
        <v>146</v>
      </c>
      <c r="F87" s="462"/>
      <c r="G87" s="463"/>
      <c r="H87" s="67">
        <f>H85*1000/H83</f>
        <v>495.45454545454544</v>
      </c>
      <c r="I87" s="67">
        <f>I85*1000/I83</f>
        <v>518.1818181818181</v>
      </c>
    </row>
    <row r="88" spans="1:9" s="60" customFormat="1" ht="13.5">
      <c r="A88" s="58"/>
      <c r="B88" s="39"/>
      <c r="C88" s="183" t="s">
        <v>147</v>
      </c>
      <c r="D88" s="187" t="s">
        <v>125</v>
      </c>
      <c r="E88" s="461" t="s">
        <v>125</v>
      </c>
      <c r="F88" s="462"/>
      <c r="G88" s="463"/>
      <c r="H88" s="59" t="s">
        <v>125</v>
      </c>
      <c r="I88" s="59"/>
    </row>
    <row r="89" spans="1:10" s="60" customFormat="1" ht="13.5" customHeight="1">
      <c r="A89" s="58"/>
      <c r="B89" s="39"/>
      <c r="C89" s="185" t="s">
        <v>261</v>
      </c>
      <c r="D89" s="187" t="s">
        <v>123</v>
      </c>
      <c r="E89" s="461" t="s">
        <v>146</v>
      </c>
      <c r="F89" s="462"/>
      <c r="G89" s="463"/>
      <c r="H89" s="59">
        <v>7.5</v>
      </c>
      <c r="I89" s="59">
        <v>10</v>
      </c>
      <c r="J89" s="60">
        <f>330*8/12+400*4/12</f>
        <v>353.33333333333337</v>
      </c>
    </row>
    <row r="90" spans="1:9" s="153" customFormat="1" ht="12.75">
      <c r="A90" s="68"/>
      <c r="B90" s="69"/>
      <c r="C90" s="455" t="s">
        <v>263</v>
      </c>
      <c r="D90" s="456"/>
      <c r="E90" s="456"/>
      <c r="F90" s="456"/>
      <c r="G90" s="456"/>
      <c r="H90" s="456"/>
      <c r="I90" s="457"/>
    </row>
    <row r="91" spans="1:9" s="60" customFormat="1" ht="12.75">
      <c r="A91" s="58"/>
      <c r="B91" s="39"/>
      <c r="C91" s="61" t="s">
        <v>126</v>
      </c>
      <c r="D91" s="62" t="s">
        <v>125</v>
      </c>
      <c r="E91" s="427"/>
      <c r="F91" s="427"/>
      <c r="G91" s="427"/>
      <c r="H91" s="59"/>
      <c r="I91" s="59"/>
    </row>
    <row r="92" spans="1:9" s="60" customFormat="1" ht="12.75">
      <c r="A92" s="58"/>
      <c r="B92" s="39"/>
      <c r="C92" s="64" t="s">
        <v>149</v>
      </c>
      <c r="D92" s="65" t="s">
        <v>150</v>
      </c>
      <c r="E92" s="448" t="s">
        <v>128</v>
      </c>
      <c r="F92" s="449"/>
      <c r="G92" s="450"/>
      <c r="H92" s="59"/>
      <c r="I92" s="67">
        <f>G55+G24</f>
        <v>4000</v>
      </c>
    </row>
    <row r="93" spans="1:9" s="60" customFormat="1" ht="12.75">
      <c r="A93" s="58"/>
      <c r="B93" s="39"/>
      <c r="C93" s="61" t="s">
        <v>136</v>
      </c>
      <c r="D93" s="62" t="s">
        <v>125</v>
      </c>
      <c r="E93" s="427"/>
      <c r="F93" s="427"/>
      <c r="G93" s="427"/>
      <c r="H93" s="59"/>
      <c r="I93" s="59"/>
    </row>
    <row r="94" spans="1:9" s="60" customFormat="1" ht="12.75">
      <c r="A94" s="58"/>
      <c r="B94" s="39"/>
      <c r="C94" s="64" t="s">
        <v>151</v>
      </c>
      <c r="D94" s="65" t="s">
        <v>124</v>
      </c>
      <c r="E94" s="448" t="s">
        <v>128</v>
      </c>
      <c r="F94" s="449"/>
      <c r="G94" s="450"/>
      <c r="H94" s="59"/>
      <c r="I94" s="59">
        <v>2</v>
      </c>
    </row>
    <row r="95" spans="1:9" s="60" customFormat="1" ht="12.75">
      <c r="A95" s="58"/>
      <c r="B95" s="39"/>
      <c r="C95" s="61" t="s">
        <v>143</v>
      </c>
      <c r="D95" s="62" t="s">
        <v>125</v>
      </c>
      <c r="E95" s="427"/>
      <c r="F95" s="427"/>
      <c r="G95" s="427"/>
      <c r="H95" s="59"/>
      <c r="I95" s="59"/>
    </row>
    <row r="96" spans="1:9" s="60" customFormat="1" ht="12.75">
      <c r="A96" s="58"/>
      <c r="B96" s="39"/>
      <c r="C96" s="64" t="s">
        <v>152</v>
      </c>
      <c r="D96" s="65" t="s">
        <v>150</v>
      </c>
      <c r="E96" s="452" t="s">
        <v>146</v>
      </c>
      <c r="F96" s="453"/>
      <c r="G96" s="454"/>
      <c r="H96" s="59"/>
      <c r="I96" s="66">
        <f>I92/I94</f>
        <v>2000</v>
      </c>
    </row>
    <row r="97" spans="1:9" s="60" customFormat="1" ht="12.75">
      <c r="A97" s="58"/>
      <c r="B97" s="39"/>
      <c r="C97" s="61" t="s">
        <v>147</v>
      </c>
      <c r="D97" s="62" t="s">
        <v>125</v>
      </c>
      <c r="E97" s="427"/>
      <c r="F97" s="427"/>
      <c r="G97" s="427"/>
      <c r="H97" s="59"/>
      <c r="I97" s="59"/>
    </row>
    <row r="98" spans="1:9" s="60" customFormat="1" ht="12.75">
      <c r="A98" s="58"/>
      <c r="B98" s="39"/>
      <c r="C98" s="64" t="s">
        <v>153</v>
      </c>
      <c r="D98" s="65" t="s">
        <v>123</v>
      </c>
      <c r="E98" s="448" t="s">
        <v>128</v>
      </c>
      <c r="F98" s="449"/>
      <c r="G98" s="450"/>
      <c r="H98" s="59"/>
      <c r="I98" s="59">
        <v>100</v>
      </c>
    </row>
    <row r="99" ht="12.75">
      <c r="A99" s="22"/>
    </row>
    <row r="100" spans="1:9" ht="30.75" customHeight="1">
      <c r="A100" s="444" t="s">
        <v>27</v>
      </c>
      <c r="B100" s="444"/>
      <c r="C100" s="444"/>
      <c r="D100" s="444"/>
      <c r="E100" s="444"/>
      <c r="F100" s="444"/>
      <c r="G100" s="444"/>
      <c r="H100" s="444"/>
      <c r="I100" s="444"/>
    </row>
    <row r="101" spans="1:9" ht="15">
      <c r="A101" s="446"/>
      <c r="B101" s="446"/>
      <c r="C101" s="446"/>
      <c r="D101" s="446"/>
      <c r="E101" s="446"/>
      <c r="F101" s="446"/>
      <c r="G101" s="446"/>
      <c r="H101" s="446"/>
      <c r="I101" s="446"/>
    </row>
    <row r="102" spans="1:9" ht="15">
      <c r="A102" s="446"/>
      <c r="B102" s="446"/>
      <c r="C102" s="446"/>
      <c r="D102" s="446"/>
      <c r="E102" s="446"/>
      <c r="F102" s="446"/>
      <c r="G102" s="446"/>
      <c r="H102" s="446"/>
      <c r="I102" s="446"/>
    </row>
    <row r="103" spans="1:9" ht="15">
      <c r="A103" s="442" t="s">
        <v>210</v>
      </c>
      <c r="B103" s="442"/>
      <c r="C103" s="442"/>
      <c r="D103" s="442"/>
      <c r="E103" s="442"/>
      <c r="F103" s="442"/>
      <c r="G103" s="442"/>
      <c r="H103" s="442"/>
      <c r="I103" s="442"/>
    </row>
    <row r="104" ht="12.75">
      <c r="I104" s="2" t="s">
        <v>4</v>
      </c>
    </row>
    <row r="105" spans="1:9" s="19" customFormat="1" ht="12.75">
      <c r="A105" s="443" t="s">
        <v>3</v>
      </c>
      <c r="B105" s="443"/>
      <c r="C105" s="23"/>
      <c r="D105" s="18"/>
      <c r="E105" s="18"/>
      <c r="F105" s="18"/>
      <c r="G105" s="18"/>
      <c r="H105" s="443"/>
      <c r="I105" s="443"/>
    </row>
    <row r="106" ht="12.75">
      <c r="A106" s="3"/>
    </row>
    <row r="107" spans="1:9" ht="30.75" customHeight="1">
      <c r="A107" s="444" t="s">
        <v>211</v>
      </c>
      <c r="B107" s="444"/>
      <c r="C107" s="444"/>
      <c r="D107" s="444"/>
      <c r="E107" s="444"/>
      <c r="F107" s="444"/>
      <c r="G107" s="444"/>
      <c r="H107" s="444"/>
      <c r="I107" s="444"/>
    </row>
    <row r="108" ht="12.75">
      <c r="I108" s="2" t="s">
        <v>4</v>
      </c>
    </row>
    <row r="109" spans="1:9" ht="36.75" customHeight="1">
      <c r="A109" s="441" t="s">
        <v>23</v>
      </c>
      <c r="B109" s="441"/>
      <c r="C109" s="441" t="s">
        <v>1</v>
      </c>
      <c r="D109" s="441" t="s">
        <v>7</v>
      </c>
      <c r="E109" s="441"/>
      <c r="F109" s="441" t="s">
        <v>178</v>
      </c>
      <c r="G109" s="441"/>
      <c r="H109" s="441" t="s">
        <v>212</v>
      </c>
      <c r="I109" s="441"/>
    </row>
    <row r="110" spans="1:9" ht="36" customHeight="1">
      <c r="A110" s="441"/>
      <c r="B110" s="441"/>
      <c r="C110" s="441"/>
      <c r="D110" s="14" t="s">
        <v>28</v>
      </c>
      <c r="E110" s="14" t="s">
        <v>36</v>
      </c>
      <c r="F110" s="14" t="s">
        <v>28</v>
      </c>
      <c r="G110" s="14" t="s">
        <v>36</v>
      </c>
      <c r="H110" s="441"/>
      <c r="I110" s="441"/>
    </row>
    <row r="111" spans="1:9" ht="13.5" thickBot="1">
      <c r="A111" s="445">
        <v>1</v>
      </c>
      <c r="B111" s="445"/>
      <c r="C111" s="17">
        <v>2</v>
      </c>
      <c r="D111" s="16">
        <v>3</v>
      </c>
      <c r="E111" s="16">
        <v>4</v>
      </c>
      <c r="F111" s="16">
        <v>5</v>
      </c>
      <c r="G111" s="16">
        <v>6</v>
      </c>
      <c r="H111" s="445">
        <v>7</v>
      </c>
      <c r="I111" s="445"/>
    </row>
    <row r="112" spans="1:9" ht="13.5" thickTop="1">
      <c r="A112" s="447"/>
      <c r="B112" s="447"/>
      <c r="C112" s="15"/>
      <c r="D112" s="25"/>
      <c r="E112" s="25"/>
      <c r="F112" s="25"/>
      <c r="G112" s="25"/>
      <c r="H112" s="440"/>
      <c r="I112" s="440"/>
    </row>
    <row r="113" spans="1:9" ht="12.75">
      <c r="A113" s="402"/>
      <c r="B113" s="402"/>
      <c r="C113" s="12"/>
      <c r="D113" s="11"/>
      <c r="E113" s="11"/>
      <c r="F113" s="11"/>
      <c r="G113" s="11"/>
      <c r="H113" s="427"/>
      <c r="I113" s="427"/>
    </row>
    <row r="114" spans="1:9" ht="12.75">
      <c r="A114" s="402"/>
      <c r="B114" s="402"/>
      <c r="C114" s="12"/>
      <c r="D114" s="11"/>
      <c r="E114" s="11"/>
      <c r="F114" s="11"/>
      <c r="G114" s="11"/>
      <c r="H114" s="427"/>
      <c r="I114" s="427"/>
    </row>
    <row r="115" spans="1:9" ht="12.75">
      <c r="A115" s="402"/>
      <c r="B115" s="402"/>
      <c r="C115" s="12"/>
      <c r="D115" s="11"/>
      <c r="E115" s="11"/>
      <c r="F115" s="11"/>
      <c r="G115" s="11"/>
      <c r="H115" s="427"/>
      <c r="I115" s="427"/>
    </row>
    <row r="116" spans="1:9" ht="12.75">
      <c r="A116" s="402"/>
      <c r="B116" s="402"/>
      <c r="C116" s="12"/>
      <c r="D116" s="11"/>
      <c r="E116" s="11"/>
      <c r="F116" s="11"/>
      <c r="G116" s="11"/>
      <c r="H116" s="427"/>
      <c r="I116" s="427"/>
    </row>
    <row r="117" ht="15">
      <c r="A117" s="1"/>
    </row>
    <row r="118" spans="1:9" ht="14.25" customHeight="1">
      <c r="A118" s="444" t="s">
        <v>25</v>
      </c>
      <c r="B118" s="444"/>
      <c r="C118" s="444"/>
      <c r="D118" s="444"/>
      <c r="E118" s="444"/>
      <c r="F118" s="444"/>
      <c r="G118" s="444"/>
      <c r="H118" s="444"/>
      <c r="I118" s="444"/>
    </row>
    <row r="119" spans="1:9" ht="72.75" customHeight="1">
      <c r="A119" s="14" t="s">
        <v>20</v>
      </c>
      <c r="B119" s="8" t="s">
        <v>0</v>
      </c>
      <c r="C119" s="14" t="s">
        <v>1</v>
      </c>
      <c r="D119" s="14" t="s">
        <v>14</v>
      </c>
      <c r="E119" s="14" t="s">
        <v>15</v>
      </c>
      <c r="F119" s="14" t="s">
        <v>29</v>
      </c>
      <c r="G119" s="14" t="s">
        <v>30</v>
      </c>
      <c r="H119" s="14" t="s">
        <v>31</v>
      </c>
      <c r="I119" s="14" t="s">
        <v>32</v>
      </c>
    </row>
    <row r="120" spans="1:9" ht="13.5" thickBot="1">
      <c r="A120" s="17">
        <v>1</v>
      </c>
      <c r="B120" s="17">
        <v>2</v>
      </c>
      <c r="C120" s="16">
        <v>3</v>
      </c>
      <c r="D120" s="16">
        <v>4</v>
      </c>
      <c r="E120" s="16">
        <v>5</v>
      </c>
      <c r="F120" s="16">
        <v>6</v>
      </c>
      <c r="G120" s="16">
        <v>7</v>
      </c>
      <c r="H120" s="16">
        <v>8</v>
      </c>
      <c r="I120" s="16">
        <v>9</v>
      </c>
    </row>
    <row r="121" spans="1:9" ht="13.5" hidden="1" thickTop="1">
      <c r="A121" s="24"/>
      <c r="B121" s="26"/>
      <c r="C121" s="26" t="s">
        <v>10</v>
      </c>
      <c r="D121" s="24"/>
      <c r="E121" s="24"/>
      <c r="F121" s="24"/>
      <c r="G121" s="24"/>
      <c r="H121" s="24"/>
      <c r="I121" s="24"/>
    </row>
    <row r="122" spans="1:9" ht="13.5" hidden="1" thickTop="1">
      <c r="A122" s="18"/>
      <c r="B122" s="12"/>
      <c r="C122" s="12" t="s">
        <v>26</v>
      </c>
      <c r="D122" s="18"/>
      <c r="E122" s="18"/>
      <c r="F122" s="18"/>
      <c r="G122" s="18"/>
      <c r="H122" s="18"/>
      <c r="I122" s="18"/>
    </row>
    <row r="123" spans="1:9" ht="13.5" hidden="1" thickTop="1">
      <c r="A123" s="18"/>
      <c r="B123" s="12"/>
      <c r="C123" s="12" t="s">
        <v>16</v>
      </c>
      <c r="D123" s="18"/>
      <c r="E123" s="18"/>
      <c r="F123" s="18"/>
      <c r="G123" s="18"/>
      <c r="H123" s="18"/>
      <c r="I123" s="18"/>
    </row>
    <row r="124" spans="1:9" ht="13.5" hidden="1" thickTop="1">
      <c r="A124" s="18"/>
      <c r="B124" s="12"/>
      <c r="C124" s="12" t="s">
        <v>2</v>
      </c>
      <c r="D124" s="18"/>
      <c r="E124" s="18"/>
      <c r="F124" s="18"/>
      <c r="G124" s="18"/>
      <c r="H124" s="18"/>
      <c r="I124" s="18"/>
    </row>
    <row r="125" spans="1:9" ht="13.5" hidden="1" thickTop="1">
      <c r="A125" s="18"/>
      <c r="B125" s="12"/>
      <c r="C125" s="12" t="s">
        <v>17</v>
      </c>
      <c r="D125" s="18"/>
      <c r="E125" s="18"/>
      <c r="F125" s="18"/>
      <c r="G125" s="18"/>
      <c r="H125" s="18"/>
      <c r="I125" s="18"/>
    </row>
    <row r="126" spans="1:9" ht="13.5" hidden="1" thickTop="1">
      <c r="A126" s="18"/>
      <c r="B126" s="12"/>
      <c r="C126" s="12" t="s">
        <v>2</v>
      </c>
      <c r="D126" s="18"/>
      <c r="E126" s="18"/>
      <c r="F126" s="18"/>
      <c r="G126" s="18"/>
      <c r="H126" s="18"/>
      <c r="I126" s="18"/>
    </row>
    <row r="127" spans="1:9" ht="13.5" hidden="1" thickTop="1">
      <c r="A127" s="18"/>
      <c r="B127" s="12"/>
      <c r="C127" s="12" t="s">
        <v>18</v>
      </c>
      <c r="D127" s="18"/>
      <c r="E127" s="18"/>
      <c r="F127" s="18"/>
      <c r="G127" s="18"/>
      <c r="H127" s="18"/>
      <c r="I127" s="18"/>
    </row>
    <row r="128" spans="1:9" ht="13.5" hidden="1" thickTop="1">
      <c r="A128" s="18"/>
      <c r="B128" s="12"/>
      <c r="C128" s="12" t="s">
        <v>33</v>
      </c>
      <c r="D128" s="18"/>
      <c r="E128" s="18"/>
      <c r="F128" s="18"/>
      <c r="G128" s="18"/>
      <c r="H128" s="18"/>
      <c r="I128" s="18"/>
    </row>
    <row r="129" spans="1:9" ht="13.5" hidden="1" thickTop="1">
      <c r="A129" s="18"/>
      <c r="B129" s="12"/>
      <c r="C129" s="12" t="s">
        <v>19</v>
      </c>
      <c r="D129" s="18"/>
      <c r="E129" s="18"/>
      <c r="F129" s="18"/>
      <c r="G129" s="18"/>
      <c r="H129" s="18"/>
      <c r="I129" s="18"/>
    </row>
    <row r="130" spans="1:9" ht="13.5" hidden="1" thickTop="1">
      <c r="A130" s="18"/>
      <c r="B130" s="12"/>
      <c r="C130" s="12" t="s">
        <v>2</v>
      </c>
      <c r="D130" s="18"/>
      <c r="E130" s="18"/>
      <c r="F130" s="18"/>
      <c r="G130" s="18"/>
      <c r="H130" s="18"/>
      <c r="I130" s="18"/>
    </row>
    <row r="131" spans="1:9" ht="13.5" hidden="1" thickTop="1">
      <c r="A131" s="18"/>
      <c r="B131" s="13"/>
      <c r="C131" s="13" t="s">
        <v>11</v>
      </c>
      <c r="D131" s="18"/>
      <c r="E131" s="18"/>
      <c r="F131" s="18"/>
      <c r="G131" s="18"/>
      <c r="H131" s="18"/>
      <c r="I131" s="18"/>
    </row>
    <row r="132" spans="1:9" ht="13.5" thickTop="1">
      <c r="A132" s="18"/>
      <c r="B132" s="12"/>
      <c r="C132" s="12" t="s">
        <v>2</v>
      </c>
      <c r="D132" s="18"/>
      <c r="E132" s="18"/>
      <c r="F132" s="18"/>
      <c r="G132" s="18"/>
      <c r="H132" s="18"/>
      <c r="I132" s="18"/>
    </row>
    <row r="133" ht="12.75">
      <c r="A133" s="22"/>
    </row>
    <row r="134" spans="1:9" ht="30.75" customHeight="1">
      <c r="A134" s="444" t="s">
        <v>34</v>
      </c>
      <c r="B134" s="444"/>
      <c r="C134" s="444"/>
      <c r="D134" s="444"/>
      <c r="E134" s="444"/>
      <c r="F134" s="444"/>
      <c r="G134" s="444"/>
      <c r="H134" s="444"/>
      <c r="I134" s="444"/>
    </row>
    <row r="135" spans="1:9" ht="15">
      <c r="A135" s="446"/>
      <c r="B135" s="446"/>
      <c r="C135" s="446"/>
      <c r="D135" s="446"/>
      <c r="E135" s="446"/>
      <c r="F135" s="446"/>
      <c r="G135" s="446"/>
      <c r="H135" s="446"/>
      <c r="I135" s="446"/>
    </row>
    <row r="136" spans="1:9" ht="15">
      <c r="A136" s="442" t="s">
        <v>213</v>
      </c>
      <c r="B136" s="442"/>
      <c r="C136" s="442"/>
      <c r="D136" s="442"/>
      <c r="E136" s="442"/>
      <c r="F136" s="442"/>
      <c r="G136" s="442"/>
      <c r="H136" s="442"/>
      <c r="I136" s="442"/>
    </row>
    <row r="137" spans="1:9" ht="12.75">
      <c r="A137" s="2" t="s">
        <v>35</v>
      </c>
      <c r="I137" s="2" t="s">
        <v>4</v>
      </c>
    </row>
    <row r="138" spans="1:9" s="19" customFormat="1" ht="12.75">
      <c r="A138" s="443" t="s">
        <v>3</v>
      </c>
      <c r="B138" s="443"/>
      <c r="C138" s="23"/>
      <c r="D138" s="18"/>
      <c r="E138" s="18"/>
      <c r="F138" s="18"/>
      <c r="G138" s="18"/>
      <c r="H138" s="443"/>
      <c r="I138" s="443"/>
    </row>
    <row r="139" ht="12.75">
      <c r="A139" s="4"/>
    </row>
    <row r="140" ht="12.75">
      <c r="A140" s="4"/>
    </row>
    <row r="141" spans="1:9" ht="18.75" customHeight="1">
      <c r="A141" s="393" t="s">
        <v>159</v>
      </c>
      <c r="B141" s="393"/>
      <c r="C141" s="393"/>
      <c r="E141" s="392" t="s">
        <v>8</v>
      </c>
      <c r="F141" s="392"/>
      <c r="H141" s="392" t="s">
        <v>108</v>
      </c>
      <c r="I141" s="392"/>
    </row>
    <row r="142" spans="1:9" ht="15">
      <c r="A142" s="5"/>
      <c r="B142" s="5"/>
      <c r="E142" s="431" t="s">
        <v>5</v>
      </c>
      <c r="F142" s="431"/>
      <c r="H142" s="431" t="s">
        <v>6</v>
      </c>
      <c r="I142" s="431"/>
    </row>
    <row r="143" spans="1:8" ht="12.75" customHeight="1">
      <c r="A143" s="10"/>
      <c r="B143" s="10"/>
      <c r="E143" s="9"/>
      <c r="H143" s="9"/>
    </row>
    <row r="144" spans="1:9" ht="18.75" customHeight="1">
      <c r="A144" s="393" t="s">
        <v>107</v>
      </c>
      <c r="B144" s="393"/>
      <c r="C144" s="393"/>
      <c r="E144" s="392" t="s">
        <v>8</v>
      </c>
      <c r="F144" s="392"/>
      <c r="H144" s="392" t="s">
        <v>109</v>
      </c>
      <c r="I144" s="392"/>
    </row>
    <row r="145" spans="1:9" ht="15">
      <c r="A145" s="5"/>
      <c r="E145" s="431" t="s">
        <v>5</v>
      </c>
      <c r="F145" s="431"/>
      <c r="H145" s="431" t="s">
        <v>6</v>
      </c>
      <c r="I145" s="431"/>
    </row>
    <row r="146" ht="12.75">
      <c r="A146" s="4"/>
    </row>
    <row r="147" ht="12.75">
      <c r="A147" s="4"/>
    </row>
  </sheetData>
  <sheetProtection/>
  <mergeCells count="129">
    <mergeCell ref="A1:I1"/>
    <mergeCell ref="A3:I3"/>
    <mergeCell ref="A4:I4"/>
    <mergeCell ref="B5:J5"/>
    <mergeCell ref="B6:J6"/>
    <mergeCell ref="B12:I12"/>
    <mergeCell ref="E14:E15"/>
    <mergeCell ref="F14:G14"/>
    <mergeCell ref="H14:I15"/>
    <mergeCell ref="A16:B16"/>
    <mergeCell ref="H16:I16"/>
    <mergeCell ref="H17:I17"/>
    <mergeCell ref="A14:B15"/>
    <mergeCell ref="C14:C15"/>
    <mergeCell ref="D14:D15"/>
    <mergeCell ref="H18:I18"/>
    <mergeCell ref="H24:I24"/>
    <mergeCell ref="H25:I25"/>
    <mergeCell ref="H26:I26"/>
    <mergeCell ref="H27:I27"/>
    <mergeCell ref="H28:I28"/>
    <mergeCell ref="H19:I23"/>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6:I56"/>
    <mergeCell ref="H53:I55"/>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71:I71"/>
    <mergeCell ref="H72:I72"/>
    <mergeCell ref="H73:I73"/>
    <mergeCell ref="A75:I75"/>
    <mergeCell ref="E76:G76"/>
    <mergeCell ref="E77:G77"/>
    <mergeCell ref="E78:G78"/>
    <mergeCell ref="C79:I79"/>
    <mergeCell ref="E80:G80"/>
    <mergeCell ref="E81:G81"/>
    <mergeCell ref="E82:G82"/>
    <mergeCell ref="E83:G83"/>
    <mergeCell ref="E84:G84"/>
    <mergeCell ref="E85:G85"/>
    <mergeCell ref="E86:G86"/>
    <mergeCell ref="E87:G87"/>
    <mergeCell ref="E88:G88"/>
    <mergeCell ref="E89:G89"/>
    <mergeCell ref="C90:I90"/>
    <mergeCell ref="E91:G91"/>
    <mergeCell ref="E92:G92"/>
    <mergeCell ref="E93:G93"/>
    <mergeCell ref="E94:G94"/>
    <mergeCell ref="E95:G95"/>
    <mergeCell ref="E96:G96"/>
    <mergeCell ref="E97:G97"/>
    <mergeCell ref="E98:G98"/>
    <mergeCell ref="A100:I100"/>
    <mergeCell ref="A101:I101"/>
    <mergeCell ref="A102:I102"/>
    <mergeCell ref="A103:I103"/>
    <mergeCell ref="A105:B105"/>
    <mergeCell ref="H105:I105"/>
    <mergeCell ref="A107:I107"/>
    <mergeCell ref="A109:B110"/>
    <mergeCell ref="C109:C110"/>
    <mergeCell ref="D109:E109"/>
    <mergeCell ref="F109:G109"/>
    <mergeCell ref="H109:I110"/>
    <mergeCell ref="A111:B111"/>
    <mergeCell ref="H111:I111"/>
    <mergeCell ref="A112:B112"/>
    <mergeCell ref="H112:I112"/>
    <mergeCell ref="A113:B113"/>
    <mergeCell ref="H113:I113"/>
    <mergeCell ref="A114:B114"/>
    <mergeCell ref="H114:I114"/>
    <mergeCell ref="H142:I142"/>
    <mergeCell ref="A144:C144"/>
    <mergeCell ref="E144:F144"/>
    <mergeCell ref="H144:I144"/>
    <mergeCell ref="A115:B115"/>
    <mergeCell ref="H115:I115"/>
    <mergeCell ref="A116:B116"/>
    <mergeCell ref="H116:I116"/>
    <mergeCell ref="A118:I118"/>
    <mergeCell ref="A134:I134"/>
    <mergeCell ref="A135:I135"/>
    <mergeCell ref="A136:I136"/>
    <mergeCell ref="A138:B138"/>
    <mergeCell ref="H138:I138"/>
    <mergeCell ref="E145:F145"/>
    <mergeCell ref="H145:I145"/>
    <mergeCell ref="A141:C141"/>
    <mergeCell ref="E141:F141"/>
    <mergeCell ref="H141:I141"/>
    <mergeCell ref="E142:F142"/>
  </mergeCells>
  <printOptions horizontalCentered="1"/>
  <pageMargins left="0.2362204724409449" right="0.15748031496062992" top="0.1968503937007874" bottom="0.15748031496062992" header="0.1968503937007874" footer="0.11811023622047245"/>
  <pageSetup fitToHeight="0" fitToWidth="1" horizontalDpi="600" verticalDpi="600" orientation="landscape" paperSize="9" scale="75" r:id="rId1"/>
  <rowBreaks count="1" manualBreakCount="1">
    <brk id="89" min="1" max="8" man="1"/>
  </row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J140"/>
  <sheetViews>
    <sheetView view="pageBreakPreview" zoomScale="90" zoomScaleSheetLayoutView="90" zoomScalePageLayoutView="0" workbookViewId="0" topLeftCell="B29">
      <selection activeCell="H89" sqref="H89"/>
    </sheetView>
  </sheetViews>
  <sheetFormatPr defaultColWidth="9.00390625" defaultRowHeight="12.75"/>
  <cols>
    <col min="1" max="1" width="6.375" style="0" hidden="1" customWidth="1"/>
    <col min="2" max="2" width="7.625" style="0" customWidth="1"/>
    <col min="3" max="3" width="84.50390625" style="0" customWidth="1"/>
    <col min="4" max="4" width="8.375" style="0" customWidth="1"/>
    <col min="5" max="6" width="8.50390625" style="0" customWidth="1"/>
    <col min="7" max="7" width="11.375" style="0" customWidth="1"/>
    <col min="8" max="8" width="32.50390625" style="0" customWidth="1"/>
    <col min="9" max="9" width="32.375" style="0" customWidth="1"/>
    <col min="10" max="10" width="10.50390625" style="0" customWidth="1"/>
  </cols>
  <sheetData>
    <row r="1" spans="1:9" s="60" customFormat="1" ht="21" thickBot="1">
      <c r="A1" s="432" t="s">
        <v>217</v>
      </c>
      <c r="B1" s="432"/>
      <c r="C1" s="432"/>
      <c r="D1" s="432"/>
      <c r="E1" s="432"/>
      <c r="F1" s="432"/>
      <c r="G1" s="432"/>
      <c r="H1" s="432"/>
      <c r="I1" s="432"/>
    </row>
    <row r="2" s="60" customFormat="1" ht="9.75" customHeight="1" thickTop="1">
      <c r="A2" s="70"/>
    </row>
    <row r="3" spans="1:9" s="60" customFormat="1" ht="15">
      <c r="A3" s="433" t="s">
        <v>160</v>
      </c>
      <c r="B3" s="433"/>
      <c r="C3" s="433"/>
      <c r="D3" s="433"/>
      <c r="E3" s="433"/>
      <c r="F3" s="433"/>
      <c r="G3" s="433"/>
      <c r="H3" s="433"/>
      <c r="I3" s="433"/>
    </row>
    <row r="4" spans="1:9" s="60" customFormat="1" ht="12" customHeight="1">
      <c r="A4" s="434" t="s">
        <v>206</v>
      </c>
      <c r="B4" s="434"/>
      <c r="C4" s="434"/>
      <c r="D4" s="434"/>
      <c r="E4" s="434"/>
      <c r="F4" s="434"/>
      <c r="G4" s="434"/>
      <c r="H4" s="434"/>
      <c r="I4" s="434"/>
    </row>
    <row r="5" spans="1:10" s="60" customFormat="1" ht="12" customHeight="1">
      <c r="A5" s="112"/>
      <c r="B5" s="433" t="s">
        <v>205</v>
      </c>
      <c r="C5" s="433"/>
      <c r="D5" s="433"/>
      <c r="E5" s="433"/>
      <c r="F5" s="433"/>
      <c r="G5" s="433"/>
      <c r="H5" s="433"/>
      <c r="I5" s="433"/>
      <c r="J5" s="433"/>
    </row>
    <row r="6" spans="1:10" s="60" customFormat="1" ht="12" customHeight="1">
      <c r="A6" s="112"/>
      <c r="B6" s="434" t="s">
        <v>207</v>
      </c>
      <c r="C6" s="434"/>
      <c r="D6" s="434"/>
      <c r="E6" s="434"/>
      <c r="F6" s="434"/>
      <c r="G6" s="434"/>
      <c r="H6" s="434"/>
      <c r="I6" s="434"/>
      <c r="J6" s="434"/>
    </row>
    <row r="7" spans="1:9" s="60" customFormat="1" ht="12" customHeight="1">
      <c r="A7" s="112"/>
      <c r="B7" s="119"/>
      <c r="C7" s="116"/>
      <c r="D7" s="116"/>
      <c r="E7" s="116"/>
      <c r="F7" s="116"/>
      <c r="G7" s="116"/>
      <c r="H7" s="116"/>
      <c r="I7" s="116"/>
    </row>
    <row r="8" spans="1:9" s="60" customFormat="1" ht="12" customHeight="1">
      <c r="A8" s="112"/>
      <c r="B8" s="115" t="s">
        <v>236</v>
      </c>
      <c r="C8" s="116"/>
      <c r="D8" s="116"/>
      <c r="E8" s="116"/>
      <c r="F8" s="116"/>
      <c r="G8" s="116"/>
      <c r="H8" s="116"/>
      <c r="I8" s="116"/>
    </row>
    <row r="9" spans="1:9" s="60" customFormat="1" ht="12" customHeight="1">
      <c r="A9" s="112"/>
      <c r="B9" s="117"/>
      <c r="C9" s="118" t="s">
        <v>201</v>
      </c>
      <c r="D9" s="116"/>
      <c r="E9" s="120" t="s">
        <v>202</v>
      </c>
      <c r="F9" s="116"/>
      <c r="H9" s="116"/>
      <c r="I9" s="116"/>
    </row>
    <row r="10" spans="1:9" s="60" customFormat="1" ht="12" customHeight="1">
      <c r="A10" s="112"/>
      <c r="B10" s="121"/>
      <c r="C10" s="121"/>
      <c r="D10" s="121"/>
      <c r="E10" s="121"/>
      <c r="F10" s="121"/>
      <c r="G10" s="121"/>
      <c r="H10" s="121"/>
      <c r="I10" s="121"/>
    </row>
    <row r="11" spans="1:9" s="60" customFormat="1" ht="12" customHeight="1">
      <c r="A11" s="112"/>
      <c r="B11" s="115" t="s">
        <v>203</v>
      </c>
      <c r="C11" s="115"/>
      <c r="D11" s="115"/>
      <c r="E11" s="115"/>
      <c r="F11" s="115"/>
      <c r="G11" s="115"/>
      <c r="H11" s="115"/>
      <c r="I11" s="115"/>
    </row>
    <row r="12" spans="1:9" s="60" customFormat="1" ht="12" customHeight="1">
      <c r="A12" s="112"/>
      <c r="B12" s="400" t="s">
        <v>204</v>
      </c>
      <c r="C12" s="400"/>
      <c r="D12" s="400"/>
      <c r="E12" s="400"/>
      <c r="F12" s="400"/>
      <c r="G12" s="400"/>
      <c r="H12" s="400"/>
      <c r="I12" s="400"/>
    </row>
    <row r="13" s="60" customFormat="1" ht="12.75">
      <c r="I13" s="71" t="s">
        <v>4</v>
      </c>
    </row>
    <row r="14" spans="1:9" s="60" customFormat="1" ht="12.75">
      <c r="A14" s="417" t="s">
        <v>23</v>
      </c>
      <c r="B14" s="417"/>
      <c r="C14" s="417" t="s">
        <v>1</v>
      </c>
      <c r="D14" s="417" t="s">
        <v>175</v>
      </c>
      <c r="E14" s="417" t="s">
        <v>176</v>
      </c>
      <c r="F14" s="417" t="s">
        <v>177</v>
      </c>
      <c r="G14" s="417"/>
      <c r="H14" s="417" t="s">
        <v>208</v>
      </c>
      <c r="I14" s="417"/>
    </row>
    <row r="15" spans="1:9" s="60" customFormat="1" ht="27" customHeight="1">
      <c r="A15" s="417"/>
      <c r="B15" s="417"/>
      <c r="C15" s="417"/>
      <c r="D15" s="417"/>
      <c r="E15" s="417"/>
      <c r="F15" s="111" t="s">
        <v>24</v>
      </c>
      <c r="G15" s="111" t="s">
        <v>36</v>
      </c>
      <c r="H15" s="417"/>
      <c r="I15" s="417"/>
    </row>
    <row r="16" spans="1:9" s="60" customFormat="1" ht="13.5" thickBot="1">
      <c r="A16" s="415">
        <v>1</v>
      </c>
      <c r="B16" s="415"/>
      <c r="C16" s="113">
        <v>2</v>
      </c>
      <c r="D16" s="113">
        <v>3</v>
      </c>
      <c r="E16" s="113">
        <v>4</v>
      </c>
      <c r="F16" s="113">
        <v>5</v>
      </c>
      <c r="G16" s="113">
        <v>6</v>
      </c>
      <c r="H16" s="416">
        <v>7</v>
      </c>
      <c r="I16" s="416"/>
    </row>
    <row r="17" spans="2:9" s="165" customFormat="1" ht="13.5" thickTop="1">
      <c r="B17" s="169">
        <f>'2019-3 СВОД'!B128</f>
        <v>1113110</v>
      </c>
      <c r="C17" s="169" t="str">
        <f>'2019-3 СВОД'!C128</f>
        <v>Програма Заклади та заходи з питань дітей та їх соціального захисту</v>
      </c>
      <c r="D17" s="166">
        <f>D19+D54</f>
        <v>970.79</v>
      </c>
      <c r="E17" s="166">
        <f>E19+E54</f>
        <v>1416.6</v>
      </c>
      <c r="F17" s="166">
        <f>F19+F54</f>
        <v>1514.5</v>
      </c>
      <c r="G17" s="166">
        <f>G19+G54</f>
        <v>0</v>
      </c>
      <c r="H17" s="428"/>
      <c r="I17" s="428"/>
    </row>
    <row r="18" spans="2:9" s="156" customFormat="1" ht="26.25">
      <c r="B18" s="154">
        <f>'2019-3 СВОД'!B129</f>
        <v>1113111</v>
      </c>
      <c r="C18" s="154" t="str">
        <f>'2019-3 СВОД'!C129</f>
        <v>Підпрограма Утримання закладів, які надають соціальні послуги дітям, які опинились у складних життєвих обставинах</v>
      </c>
      <c r="D18" s="124">
        <f>D17</f>
        <v>970.79</v>
      </c>
      <c r="E18" s="124">
        <f>E17</f>
        <v>1416.6</v>
      </c>
      <c r="F18" s="124">
        <f>F17</f>
        <v>1514.5</v>
      </c>
      <c r="G18" s="124">
        <f>G17</f>
        <v>0</v>
      </c>
      <c r="H18" s="464"/>
      <c r="I18" s="465"/>
    </row>
    <row r="19" spans="1:9" ht="12.75" customHeight="1">
      <c r="A19" s="6"/>
      <c r="B19" s="27">
        <v>2000</v>
      </c>
      <c r="C19" s="28" t="s">
        <v>37</v>
      </c>
      <c r="D19" s="33">
        <f>D20+D25+D42+D45+D49+D53</f>
        <v>970.79</v>
      </c>
      <c r="E19" s="33">
        <f>E20+E25+E42+E45+E49+E53</f>
        <v>1416.6</v>
      </c>
      <c r="F19" s="33">
        <f>F20+F25+F42+F45+F49+F53</f>
        <v>1514.5</v>
      </c>
      <c r="G19" s="33">
        <f>G20+G25+G42+G45+G49+G53</f>
        <v>0</v>
      </c>
      <c r="H19" s="402"/>
      <c r="I19" s="402"/>
    </row>
    <row r="20" spans="1:9" ht="12.75" customHeight="1">
      <c r="A20" s="6"/>
      <c r="B20" s="29">
        <v>2100</v>
      </c>
      <c r="C20" s="30" t="s">
        <v>38</v>
      </c>
      <c r="D20" s="35">
        <f>D21+D24</f>
        <v>610.4</v>
      </c>
      <c r="E20" s="35">
        <f>E21+E24</f>
        <v>956.8</v>
      </c>
      <c r="F20" s="35">
        <f>F21+F24</f>
        <v>1024.1</v>
      </c>
      <c r="G20" s="35">
        <f>G21+G24</f>
        <v>0</v>
      </c>
      <c r="H20" s="402"/>
      <c r="I20" s="402"/>
    </row>
    <row r="21" spans="1:9" ht="12.75" customHeight="1">
      <c r="A21" s="6"/>
      <c r="B21" s="29">
        <v>2110</v>
      </c>
      <c r="C21" s="30" t="s">
        <v>39</v>
      </c>
      <c r="D21" s="35">
        <f>D22+D23</f>
        <v>500.3</v>
      </c>
      <c r="E21" s="35">
        <f>E22+E23</f>
        <v>783.8</v>
      </c>
      <c r="F21" s="35">
        <f>F22+F23</f>
        <v>839.4</v>
      </c>
      <c r="G21" s="35">
        <f>G22+G23</f>
        <v>0</v>
      </c>
      <c r="H21" s="402"/>
      <c r="I21" s="402"/>
    </row>
    <row r="22" spans="1:9" ht="12.75" customHeight="1">
      <c r="A22" s="6"/>
      <c r="B22" s="29">
        <v>2111</v>
      </c>
      <c r="C22" s="30" t="s">
        <v>42</v>
      </c>
      <c r="D22" s="34">
        <f>'2019-3 СВОД'!D133</f>
        <v>500.3</v>
      </c>
      <c r="E22" s="34">
        <f>'2019-3 СВОД'!E133</f>
        <v>783.8</v>
      </c>
      <c r="F22" s="34">
        <f>'2019-3 СВОД'!F133</f>
        <v>839.4</v>
      </c>
      <c r="G22" s="34">
        <f>'2019-3 СВОД'!G133</f>
        <v>0</v>
      </c>
      <c r="H22" s="402"/>
      <c r="I22" s="402"/>
    </row>
    <row r="23" spans="1:9" ht="12.75" customHeight="1" hidden="1">
      <c r="A23" s="6"/>
      <c r="B23" s="29">
        <v>2112</v>
      </c>
      <c r="C23" s="30" t="s">
        <v>43</v>
      </c>
      <c r="D23" s="34">
        <f>'2019-3 СВОД'!D134</f>
        <v>0</v>
      </c>
      <c r="E23" s="34">
        <f>'2019-3 СВОД'!E134</f>
        <v>0</v>
      </c>
      <c r="F23" s="34">
        <f>'2019-3 СВОД'!F134</f>
        <v>0</v>
      </c>
      <c r="G23" s="34">
        <f>'2019-3 СВОД'!G134</f>
        <v>0</v>
      </c>
      <c r="H23" s="402"/>
      <c r="I23" s="402"/>
    </row>
    <row r="24" spans="1:9" ht="12.75" customHeight="1">
      <c r="A24" s="6"/>
      <c r="B24" s="29">
        <v>2120</v>
      </c>
      <c r="C24" s="30" t="s">
        <v>44</v>
      </c>
      <c r="D24" s="34">
        <f>'2019-3 СВОД'!D135</f>
        <v>110.1</v>
      </c>
      <c r="E24" s="34">
        <f>'2019-3 СВОД'!E135</f>
        <v>173</v>
      </c>
      <c r="F24" s="34">
        <f>'2019-3 СВОД'!F135</f>
        <v>184.7</v>
      </c>
      <c r="G24" s="34">
        <f>'2019-3 СВОД'!G135</f>
        <v>0</v>
      </c>
      <c r="H24" s="402"/>
      <c r="I24" s="402"/>
    </row>
    <row r="25" spans="1:9" ht="12.75" customHeight="1">
      <c r="A25" s="6"/>
      <c r="B25" s="27">
        <v>2200</v>
      </c>
      <c r="C25" s="28" t="s">
        <v>45</v>
      </c>
      <c r="D25" s="33">
        <f>SUM(D26:D32)+D39</f>
        <v>360.39</v>
      </c>
      <c r="E25" s="33">
        <f>SUM(E26:E32)+E39</f>
        <v>459.8</v>
      </c>
      <c r="F25" s="33">
        <f>SUM(F26:F32)+F39</f>
        <v>490.4</v>
      </c>
      <c r="G25" s="33">
        <f>SUM(G26:G32)+G39</f>
        <v>0</v>
      </c>
      <c r="H25" s="402"/>
      <c r="I25" s="402"/>
    </row>
    <row r="26" spans="1:9" ht="12.75">
      <c r="A26" s="6"/>
      <c r="B26" s="29">
        <v>2210</v>
      </c>
      <c r="C26" s="30" t="s">
        <v>46</v>
      </c>
      <c r="D26" s="34">
        <f>'2019-3 СВОД'!D137</f>
        <v>156.9</v>
      </c>
      <c r="E26" s="34">
        <f>'2019-3 СВОД'!E137</f>
        <v>146.2</v>
      </c>
      <c r="F26" s="34">
        <f>'2019-3 СВОД'!F137</f>
        <v>146.1</v>
      </c>
      <c r="G26" s="34">
        <f>'2019-3 СВОД'!G137</f>
        <v>0</v>
      </c>
      <c r="H26" s="402"/>
      <c r="I26" s="402"/>
    </row>
    <row r="27" spans="1:9" ht="12.75" customHeight="1" hidden="1">
      <c r="A27" s="6"/>
      <c r="B27" s="29">
        <v>2220</v>
      </c>
      <c r="C27" s="30" t="s">
        <v>47</v>
      </c>
      <c r="D27" s="34">
        <f>'2019-3 СВОД'!D138</f>
        <v>0</v>
      </c>
      <c r="E27" s="34">
        <f>'2019-3 СВОД'!E138</f>
        <v>0</v>
      </c>
      <c r="F27" s="34">
        <f>'2019-3 СВОД'!F138</f>
        <v>0</v>
      </c>
      <c r="G27" s="34">
        <f>'2019-3 СВОД'!G138</f>
        <v>0</v>
      </c>
      <c r="H27" s="402"/>
      <c r="I27" s="402"/>
    </row>
    <row r="28" spans="1:9" ht="12.75" customHeight="1" hidden="1">
      <c r="A28" s="6"/>
      <c r="B28" s="29">
        <v>2230</v>
      </c>
      <c r="C28" s="30" t="s">
        <v>48</v>
      </c>
      <c r="D28" s="34">
        <f>'2019-3 СВОД'!D139</f>
        <v>0</v>
      </c>
      <c r="E28" s="34">
        <f>'2019-3 СВОД'!E139</f>
        <v>0</v>
      </c>
      <c r="F28" s="34">
        <f>'2019-3 СВОД'!F139</f>
        <v>0</v>
      </c>
      <c r="G28" s="34">
        <f>'2019-3 СВОД'!G139</f>
        <v>0</v>
      </c>
      <c r="H28" s="402"/>
      <c r="I28" s="402"/>
    </row>
    <row r="29" spans="1:9" ht="12.75" customHeight="1">
      <c r="A29" s="6"/>
      <c r="B29" s="29">
        <v>2240</v>
      </c>
      <c r="C29" s="30" t="s">
        <v>49</v>
      </c>
      <c r="D29" s="34">
        <f>'2019-3 СВОД'!D140</f>
        <v>11</v>
      </c>
      <c r="E29" s="34">
        <f>'2019-3 СВОД'!E140</f>
        <v>32</v>
      </c>
      <c r="F29" s="34">
        <f>'2019-3 СВОД'!F140</f>
        <v>33</v>
      </c>
      <c r="G29" s="34">
        <f>'2019-3 СВОД'!G140</f>
        <v>0</v>
      </c>
      <c r="H29" s="402"/>
      <c r="I29" s="402"/>
    </row>
    <row r="30" spans="1:9" ht="12.75" customHeight="1">
      <c r="A30" s="6"/>
      <c r="B30" s="29">
        <v>2250</v>
      </c>
      <c r="C30" s="30" t="s">
        <v>50</v>
      </c>
      <c r="D30" s="34">
        <f>'2019-3 СВОД'!D141</f>
        <v>0.19</v>
      </c>
      <c r="E30" s="34">
        <f>'2019-3 СВОД'!E141</f>
        <v>2</v>
      </c>
      <c r="F30" s="34">
        <f>'2019-3 СВОД'!F141</f>
        <v>3.7</v>
      </c>
      <c r="G30" s="34">
        <f>'2019-3 СВОД'!G141</f>
        <v>0</v>
      </c>
      <c r="H30" s="402"/>
      <c r="I30" s="402"/>
    </row>
    <row r="31" spans="1:9" ht="12.75" customHeight="1" hidden="1">
      <c r="A31" s="6"/>
      <c r="B31" s="29">
        <v>2260</v>
      </c>
      <c r="C31" s="30" t="s">
        <v>51</v>
      </c>
      <c r="D31" s="34">
        <f>'2019-3 СВОД'!D142</f>
        <v>0</v>
      </c>
      <c r="E31" s="34">
        <f>'2019-3 СВОД'!E142</f>
        <v>0</v>
      </c>
      <c r="F31" s="34">
        <f>'2019-3 СВОД'!F142</f>
        <v>0</v>
      </c>
      <c r="G31" s="34">
        <f>'2019-3 СВОД'!G142</f>
        <v>0</v>
      </c>
      <c r="H31" s="402"/>
      <c r="I31" s="402"/>
    </row>
    <row r="32" spans="1:9" ht="12.75" customHeight="1">
      <c r="A32" s="6"/>
      <c r="B32" s="27">
        <v>2270</v>
      </c>
      <c r="C32" s="28" t="s">
        <v>52</v>
      </c>
      <c r="D32" s="33">
        <f>D33+D34+D35+D36+D37+D38</f>
        <v>192.3</v>
      </c>
      <c r="E32" s="33">
        <f>E33+E34+E35+E36+E37+E38</f>
        <v>279.6</v>
      </c>
      <c r="F32" s="33">
        <f>F33+F34+F35+F36+F37+F38</f>
        <v>307.59999999999997</v>
      </c>
      <c r="G32" s="33">
        <f>G33+G34+G35+G36+G37+G38</f>
        <v>0</v>
      </c>
      <c r="H32" s="402"/>
      <c r="I32" s="402"/>
    </row>
    <row r="33" spans="1:9" ht="12.75" customHeight="1">
      <c r="A33" s="6"/>
      <c r="B33" s="29">
        <v>2271</v>
      </c>
      <c r="C33" s="30" t="s">
        <v>53</v>
      </c>
      <c r="D33" s="34">
        <f>'2019-3 СВОД'!D144</f>
        <v>135.68</v>
      </c>
      <c r="E33" s="34">
        <f>'2019-3 СВОД'!E144</f>
        <v>183.6</v>
      </c>
      <c r="F33" s="34">
        <f>'2019-3 СВОД'!F144</f>
        <v>187.1</v>
      </c>
      <c r="G33" s="34">
        <f>'2019-3 СВОД'!G144</f>
        <v>0</v>
      </c>
      <c r="H33" s="402"/>
      <c r="I33" s="402"/>
    </row>
    <row r="34" spans="1:9" ht="12.75" customHeight="1">
      <c r="A34" s="6"/>
      <c r="B34" s="29">
        <v>2272</v>
      </c>
      <c r="C34" s="30" t="s">
        <v>54</v>
      </c>
      <c r="D34" s="34">
        <f>'2019-3 СВОД'!D145</f>
        <v>16.5</v>
      </c>
      <c r="E34" s="34">
        <f>'2019-3 СВОД'!E145</f>
        <v>36</v>
      </c>
      <c r="F34" s="34">
        <f>'2019-3 СВОД'!F145</f>
        <v>37.3</v>
      </c>
      <c r="G34" s="34">
        <f>'2019-3 СВОД'!G145</f>
        <v>0</v>
      </c>
      <c r="H34" s="402"/>
      <c r="I34" s="402"/>
    </row>
    <row r="35" spans="1:9" ht="12.75" customHeight="1">
      <c r="A35" s="6"/>
      <c r="B35" s="29">
        <v>2273</v>
      </c>
      <c r="C35" s="30" t="s">
        <v>55</v>
      </c>
      <c r="D35" s="34">
        <f>'2019-3 СВОД'!D146</f>
        <v>40.12</v>
      </c>
      <c r="E35" s="34">
        <f>'2019-3 СВОД'!E146</f>
        <v>60</v>
      </c>
      <c r="F35" s="34">
        <f>'2019-3 СВОД'!F146</f>
        <v>83.2</v>
      </c>
      <c r="G35" s="34">
        <f>'2019-3 СВОД'!G146</f>
        <v>0</v>
      </c>
      <c r="H35" s="402"/>
      <c r="I35" s="402"/>
    </row>
    <row r="36" spans="1:9" ht="12.75" customHeight="1" hidden="1">
      <c r="A36" s="6"/>
      <c r="B36" s="29">
        <v>2274</v>
      </c>
      <c r="C36" s="30" t="s">
        <v>56</v>
      </c>
      <c r="D36" s="34">
        <f>'2019-3 СВОД'!D147</f>
        <v>0</v>
      </c>
      <c r="E36" s="34">
        <f>'2019-3 СВОД'!E147</f>
        <v>0</v>
      </c>
      <c r="F36" s="34">
        <f>'2019-3 СВОД'!F147</f>
        <v>0</v>
      </c>
      <c r="G36" s="34">
        <f>'2019-3 СВОД'!G147</f>
        <v>0</v>
      </c>
      <c r="H36" s="402"/>
      <c r="I36" s="402"/>
    </row>
    <row r="37" spans="1:9" ht="12.75" customHeight="1" hidden="1">
      <c r="A37" s="6"/>
      <c r="B37" s="29">
        <v>2275</v>
      </c>
      <c r="C37" s="30" t="s">
        <v>57</v>
      </c>
      <c r="D37" s="34">
        <f>'2019-3 СВОД'!D148</f>
        <v>0</v>
      </c>
      <c r="E37" s="34">
        <f>'2019-3 СВОД'!E148</f>
        <v>0</v>
      </c>
      <c r="F37" s="34">
        <f>'2019-3 СВОД'!F148</f>
        <v>0</v>
      </c>
      <c r="G37" s="34">
        <f>'2019-3 СВОД'!G148</f>
        <v>0</v>
      </c>
      <c r="H37" s="402"/>
      <c r="I37" s="402"/>
    </row>
    <row r="38" spans="1:9" ht="12.75" customHeight="1" hidden="1">
      <c r="A38" s="6"/>
      <c r="B38" s="31">
        <v>2276</v>
      </c>
      <c r="C38" s="32" t="s">
        <v>58</v>
      </c>
      <c r="D38" s="34">
        <f>'2019-3 СВОД'!D149</f>
        <v>0</v>
      </c>
      <c r="E38" s="34">
        <f>'2019-3 СВОД'!E149</f>
        <v>0</v>
      </c>
      <c r="F38" s="34">
        <f>'2019-3 СВОД'!F149</f>
        <v>0</v>
      </c>
      <c r="G38" s="34">
        <f>'2019-3 СВОД'!G149</f>
        <v>0</v>
      </c>
      <c r="H38" s="402"/>
      <c r="I38" s="402"/>
    </row>
    <row r="39" spans="1:9" ht="12.75" hidden="1">
      <c r="A39" s="6"/>
      <c r="B39" s="27">
        <v>2280</v>
      </c>
      <c r="C39" s="28" t="s">
        <v>59</v>
      </c>
      <c r="D39" s="33">
        <f>D40+D41</f>
        <v>0</v>
      </c>
      <c r="E39" s="33">
        <f>E40+E41</f>
        <v>0</v>
      </c>
      <c r="F39" s="33">
        <f>F40+F41</f>
        <v>0</v>
      </c>
      <c r="G39" s="33">
        <f>G40+G41</f>
        <v>0</v>
      </c>
      <c r="H39" s="402"/>
      <c r="I39" s="402"/>
    </row>
    <row r="40" spans="1:9" ht="12.75" hidden="1">
      <c r="A40" s="6"/>
      <c r="B40" s="29">
        <v>2281</v>
      </c>
      <c r="C40" s="30" t="s">
        <v>60</v>
      </c>
      <c r="D40" s="34">
        <f>'2019-3 СВОД'!D151</f>
        <v>0</v>
      </c>
      <c r="E40" s="34">
        <f>'2019-3 СВОД'!E151</f>
        <v>0</v>
      </c>
      <c r="F40" s="34">
        <f>'2019-3 СВОД'!F151</f>
        <v>0</v>
      </c>
      <c r="G40" s="34">
        <f>'2019-3 СВОД'!G151</f>
        <v>0</v>
      </c>
      <c r="H40" s="402"/>
      <c r="I40" s="402"/>
    </row>
    <row r="41" spans="1:9" ht="12.75" hidden="1">
      <c r="A41" s="6"/>
      <c r="B41" s="29">
        <v>2282</v>
      </c>
      <c r="C41" s="30" t="s">
        <v>61</v>
      </c>
      <c r="D41" s="34">
        <f>'2019-3 СВОД'!D152</f>
        <v>0</v>
      </c>
      <c r="E41" s="34">
        <f>'2019-3 СВОД'!E152</f>
        <v>0</v>
      </c>
      <c r="F41" s="34">
        <f>'2019-3 СВОД'!F152</f>
        <v>0</v>
      </c>
      <c r="G41" s="34">
        <f>'2019-3 СВОД'!G152</f>
        <v>0</v>
      </c>
      <c r="H41" s="402"/>
      <c r="I41" s="402"/>
    </row>
    <row r="42" spans="1:9" ht="12.75" customHeight="1" hidden="1">
      <c r="A42" s="6"/>
      <c r="B42" s="27">
        <v>2400</v>
      </c>
      <c r="C42" s="28" t="s">
        <v>62</v>
      </c>
      <c r="D42" s="34">
        <f>D43+D44</f>
        <v>0</v>
      </c>
      <c r="E42" s="34">
        <f>E43+E44</f>
        <v>0</v>
      </c>
      <c r="F42" s="34">
        <f>F43+F44</f>
        <v>0</v>
      </c>
      <c r="G42" s="34">
        <f>G43+G44</f>
        <v>0</v>
      </c>
      <c r="H42" s="402"/>
      <c r="I42" s="402"/>
    </row>
    <row r="43" spans="1:9" ht="12.75" customHeight="1" hidden="1">
      <c r="A43" s="6"/>
      <c r="B43" s="29">
        <v>2410</v>
      </c>
      <c r="C43" s="30" t="s">
        <v>63</v>
      </c>
      <c r="D43" s="34">
        <f>'2019-3 СВОД'!D154</f>
        <v>0</v>
      </c>
      <c r="E43" s="34">
        <f>'2019-3 СВОД'!E154</f>
        <v>0</v>
      </c>
      <c r="F43" s="34">
        <f>'2019-3 СВОД'!F154</f>
        <v>0</v>
      </c>
      <c r="G43" s="34">
        <f>'2019-3 СВОД'!G154</f>
        <v>0</v>
      </c>
      <c r="H43" s="402"/>
      <c r="I43" s="402"/>
    </row>
    <row r="44" spans="1:9" ht="12.75" customHeight="1" hidden="1">
      <c r="A44" s="6"/>
      <c r="B44" s="29">
        <v>2420</v>
      </c>
      <c r="C44" s="30" t="s">
        <v>64</v>
      </c>
      <c r="D44" s="34">
        <f>'2019-3 СВОД'!D155</f>
        <v>0</v>
      </c>
      <c r="E44" s="34">
        <f>'2019-3 СВОД'!E155</f>
        <v>0</v>
      </c>
      <c r="F44" s="34">
        <f>'2019-3 СВОД'!F155</f>
        <v>0</v>
      </c>
      <c r="G44" s="34">
        <f>'2019-3 СВОД'!G155</f>
        <v>0</v>
      </c>
      <c r="H44" s="402"/>
      <c r="I44" s="402"/>
    </row>
    <row r="45" spans="1:9" ht="12.75" customHeight="1" hidden="1">
      <c r="A45" s="6"/>
      <c r="B45" s="27">
        <v>2600</v>
      </c>
      <c r="C45" s="28" t="s">
        <v>65</v>
      </c>
      <c r="D45" s="33">
        <f>D46+D47+D48</f>
        <v>0</v>
      </c>
      <c r="E45" s="33">
        <f>E46+E47+E48</f>
        <v>0</v>
      </c>
      <c r="F45" s="33">
        <f>F46+F47+F48</f>
        <v>0</v>
      </c>
      <c r="G45" s="33">
        <f>G46+G47+G48</f>
        <v>0</v>
      </c>
      <c r="H45" s="402"/>
      <c r="I45" s="402"/>
    </row>
    <row r="46" spans="1:9" ht="12.75" hidden="1">
      <c r="A46" s="6"/>
      <c r="B46" s="29">
        <v>2610</v>
      </c>
      <c r="C46" s="30" t="s">
        <v>66</v>
      </c>
      <c r="D46" s="34">
        <f>'2019-3 СВОД'!D157</f>
        <v>0</v>
      </c>
      <c r="E46" s="34">
        <f>'2019-3 СВОД'!E157</f>
        <v>0</v>
      </c>
      <c r="F46" s="34">
        <f>'2019-3 СВОД'!F157</f>
        <v>0</v>
      </c>
      <c r="G46" s="34">
        <f>'2019-3 СВОД'!G157</f>
        <v>0</v>
      </c>
      <c r="H46" s="402"/>
      <c r="I46" s="402"/>
    </row>
    <row r="47" spans="1:9" ht="12.75" customHeight="1" hidden="1">
      <c r="A47" s="6"/>
      <c r="B47" s="29">
        <v>2620</v>
      </c>
      <c r="C47" s="30" t="s">
        <v>67</v>
      </c>
      <c r="D47" s="34">
        <f>'2019-3 СВОД'!D158</f>
        <v>0</v>
      </c>
      <c r="E47" s="34">
        <f>'2019-3 СВОД'!E158</f>
        <v>0</v>
      </c>
      <c r="F47" s="34">
        <f>'2019-3 СВОД'!F158</f>
        <v>0</v>
      </c>
      <c r="G47" s="34">
        <f>'2019-3 СВОД'!G158</f>
        <v>0</v>
      </c>
      <c r="H47" s="402"/>
      <c r="I47" s="402"/>
    </row>
    <row r="48" spans="1:9" ht="12.75" hidden="1">
      <c r="A48" s="6"/>
      <c r="B48" s="29">
        <v>2630</v>
      </c>
      <c r="C48" s="30" t="s">
        <v>68</v>
      </c>
      <c r="D48" s="34">
        <f>'2019-3 СВОД'!D159</f>
        <v>0</v>
      </c>
      <c r="E48" s="34">
        <f>'2019-3 СВОД'!E159</f>
        <v>0</v>
      </c>
      <c r="F48" s="34">
        <f>'2019-3 СВОД'!F159</f>
        <v>0</v>
      </c>
      <c r="G48" s="34">
        <f>'2019-3 СВОД'!G159</f>
        <v>0</v>
      </c>
      <c r="H48" s="402"/>
      <c r="I48" s="402"/>
    </row>
    <row r="49" spans="1:9" ht="12.75" customHeight="1" hidden="1">
      <c r="A49" s="6"/>
      <c r="B49" s="27">
        <v>2700</v>
      </c>
      <c r="C49" s="28" t="s">
        <v>69</v>
      </c>
      <c r="D49" s="33">
        <f>D50+D51+D52</f>
        <v>0</v>
      </c>
      <c r="E49" s="33">
        <f>E50+E51+E52</f>
        <v>0</v>
      </c>
      <c r="F49" s="33">
        <f>F50+F51+F52</f>
        <v>0</v>
      </c>
      <c r="G49" s="33">
        <f>G50+G51+G52</f>
        <v>0</v>
      </c>
      <c r="H49" s="402"/>
      <c r="I49" s="402"/>
    </row>
    <row r="50" spans="1:9" ht="12.75" customHeight="1" hidden="1">
      <c r="A50" s="6"/>
      <c r="B50" s="29">
        <v>2710</v>
      </c>
      <c r="C50" s="30" t="s">
        <v>70</v>
      </c>
      <c r="D50" s="34">
        <f>'2019-3 СВОД'!D161</f>
        <v>0</v>
      </c>
      <c r="E50" s="34">
        <f>'2019-3 СВОД'!E161</f>
        <v>0</v>
      </c>
      <c r="F50" s="34">
        <f>'2019-3 СВОД'!F161</f>
        <v>0</v>
      </c>
      <c r="G50" s="34">
        <f>'2019-3 СВОД'!G161</f>
        <v>0</v>
      </c>
      <c r="H50" s="402"/>
      <c r="I50" s="402"/>
    </row>
    <row r="51" spans="1:9" ht="12.75" customHeight="1" hidden="1">
      <c r="A51" s="6"/>
      <c r="B51" s="29">
        <v>2720</v>
      </c>
      <c r="C51" s="30" t="s">
        <v>71</v>
      </c>
      <c r="D51" s="34">
        <f>'2019-3 СВОД'!D162</f>
        <v>0</v>
      </c>
      <c r="E51" s="34">
        <f>'2019-3 СВОД'!E162</f>
        <v>0</v>
      </c>
      <c r="F51" s="34">
        <f>'2019-3 СВОД'!F162</f>
        <v>0</v>
      </c>
      <c r="G51" s="34">
        <f>'2019-3 СВОД'!G162</f>
        <v>0</v>
      </c>
      <c r="H51" s="402"/>
      <c r="I51" s="402"/>
    </row>
    <row r="52" spans="1:9" ht="12.75" customHeight="1" hidden="1">
      <c r="A52" s="6"/>
      <c r="B52" s="29">
        <v>2730</v>
      </c>
      <c r="C52" s="30" t="s">
        <v>72</v>
      </c>
      <c r="D52" s="34">
        <f>'2019-3 СВОД'!D163</f>
        <v>0</v>
      </c>
      <c r="E52" s="34">
        <f>'2019-3 СВОД'!E163</f>
        <v>0</v>
      </c>
      <c r="F52" s="34">
        <f>'2019-3 СВОД'!F163</f>
        <v>0</v>
      </c>
      <c r="G52" s="34">
        <f>'2019-3 СВОД'!G163</f>
        <v>0</v>
      </c>
      <c r="H52" s="402"/>
      <c r="I52" s="402"/>
    </row>
    <row r="53" spans="1:9" ht="12.75" customHeight="1" hidden="1">
      <c r="A53" s="6"/>
      <c r="B53" s="27">
        <v>2800</v>
      </c>
      <c r="C53" s="28" t="s">
        <v>73</v>
      </c>
      <c r="D53" s="34">
        <f>'2019-3 СВОД'!D164</f>
        <v>0</v>
      </c>
      <c r="E53" s="34">
        <f>'2019-3 СВОД'!E164</f>
        <v>0</v>
      </c>
      <c r="F53" s="34">
        <f>'2019-3 СВОД'!F164</f>
        <v>0</v>
      </c>
      <c r="G53" s="34">
        <f>'2019-3 СВОД'!G164</f>
        <v>0</v>
      </c>
      <c r="H53" s="402"/>
      <c r="I53" s="402"/>
    </row>
    <row r="54" spans="1:9" ht="12.75" hidden="1">
      <c r="A54" s="21"/>
      <c r="B54" s="27">
        <v>3000</v>
      </c>
      <c r="C54" s="28" t="s">
        <v>40</v>
      </c>
      <c r="D54" s="40">
        <f>D55+D69</f>
        <v>0</v>
      </c>
      <c r="E54" s="40">
        <f>E55+E69</f>
        <v>0</v>
      </c>
      <c r="F54" s="40">
        <f>F55+F69</f>
        <v>0</v>
      </c>
      <c r="G54" s="40">
        <f>G55+G69</f>
        <v>0</v>
      </c>
      <c r="H54" s="402"/>
      <c r="I54" s="402"/>
    </row>
    <row r="55" spans="1:9" ht="12.75" hidden="1">
      <c r="A55" s="21"/>
      <c r="B55" s="27">
        <v>3100</v>
      </c>
      <c r="C55" s="28" t="s">
        <v>41</v>
      </c>
      <c r="D55" s="40">
        <f>D56+D57+D60+D63+D67+D68+D69</f>
        <v>0</v>
      </c>
      <c r="E55" s="40">
        <f>E56+E57+E60+E63+E67+E68+E69</f>
        <v>0</v>
      </c>
      <c r="F55" s="40">
        <f>F56+F57+F60+F63+F67+F68+F69</f>
        <v>0</v>
      </c>
      <c r="G55" s="40">
        <f>G56+G57+G60+G63+G67+G68+G69</f>
        <v>0</v>
      </c>
      <c r="H55" s="402"/>
      <c r="I55" s="402"/>
    </row>
    <row r="56" spans="1:9" ht="12.75" hidden="1">
      <c r="A56" s="21"/>
      <c r="B56" s="29">
        <v>3110</v>
      </c>
      <c r="C56" s="30" t="s">
        <v>74</v>
      </c>
      <c r="D56" s="34">
        <f>'2019-3 СВОД'!D167</f>
        <v>0</v>
      </c>
      <c r="E56" s="34">
        <f>'2019-3 СВОД'!E167</f>
        <v>0</v>
      </c>
      <c r="F56" s="34">
        <f>'2019-3 СВОД'!F167</f>
        <v>0</v>
      </c>
      <c r="G56" s="34">
        <f>'2019-3 СВОД'!G167</f>
        <v>0</v>
      </c>
      <c r="H56" s="402"/>
      <c r="I56" s="402"/>
    </row>
    <row r="57" spans="1:9" ht="12.75" hidden="1">
      <c r="A57" s="21"/>
      <c r="B57" s="29">
        <v>3120</v>
      </c>
      <c r="C57" s="30" t="s">
        <v>75</v>
      </c>
      <c r="D57" s="40">
        <f>D58+D59</f>
        <v>0</v>
      </c>
      <c r="E57" s="40">
        <f>E58+E59</f>
        <v>0</v>
      </c>
      <c r="F57" s="40">
        <f>F58+F59</f>
        <v>0</v>
      </c>
      <c r="G57" s="40">
        <f>G58+G59</f>
        <v>0</v>
      </c>
      <c r="H57" s="402"/>
      <c r="I57" s="402"/>
    </row>
    <row r="58" spans="1:9" ht="12.75" hidden="1">
      <c r="A58" s="21"/>
      <c r="B58" s="29">
        <v>3121</v>
      </c>
      <c r="C58" s="30" t="s">
        <v>76</v>
      </c>
      <c r="D58" s="34">
        <f>'2019-3 СВОД'!D169</f>
        <v>0</v>
      </c>
      <c r="E58" s="34">
        <f>'2019-3 СВОД'!E169</f>
        <v>0</v>
      </c>
      <c r="F58" s="34">
        <f>'2019-3 СВОД'!F169</f>
        <v>0</v>
      </c>
      <c r="G58" s="34">
        <f>'2019-3 СВОД'!G169</f>
        <v>0</v>
      </c>
      <c r="H58" s="402"/>
      <c r="I58" s="402"/>
    </row>
    <row r="59" spans="1:9" ht="12.75" hidden="1">
      <c r="A59" s="21"/>
      <c r="B59" s="29">
        <v>3122</v>
      </c>
      <c r="C59" s="30" t="s">
        <v>77</v>
      </c>
      <c r="D59" s="34">
        <f>'2019-3 СВОД'!D170</f>
        <v>0</v>
      </c>
      <c r="E59" s="34">
        <f>'2019-3 СВОД'!E170</f>
        <v>0</v>
      </c>
      <c r="F59" s="34">
        <f>'2019-3 СВОД'!F170</f>
        <v>0</v>
      </c>
      <c r="G59" s="34">
        <f>'2019-3 СВОД'!G170</f>
        <v>0</v>
      </c>
      <c r="H59" s="402"/>
      <c r="I59" s="402"/>
    </row>
    <row r="60" spans="1:9" ht="12.75" hidden="1">
      <c r="A60" s="21"/>
      <c r="B60" s="29">
        <v>3130</v>
      </c>
      <c r="C60" s="30" t="s">
        <v>78</v>
      </c>
      <c r="D60" s="40">
        <f>D61+D62</f>
        <v>0</v>
      </c>
      <c r="E60" s="40">
        <f>E61+E62</f>
        <v>0</v>
      </c>
      <c r="F60" s="40">
        <f>F61+F62</f>
        <v>0</v>
      </c>
      <c r="G60" s="40">
        <f>G61+G62</f>
        <v>0</v>
      </c>
      <c r="H60" s="402"/>
      <c r="I60" s="402"/>
    </row>
    <row r="61" spans="1:9" ht="12.75" hidden="1">
      <c r="A61" s="21"/>
      <c r="B61" s="29">
        <v>3131</v>
      </c>
      <c r="C61" s="30" t="s">
        <v>79</v>
      </c>
      <c r="D61" s="34">
        <f>'2019-3 СВОД'!D172</f>
        <v>0</v>
      </c>
      <c r="E61" s="34">
        <f>'2019-3 СВОД'!E172</f>
        <v>0</v>
      </c>
      <c r="F61" s="34">
        <f>'2019-3 СВОД'!F172</f>
        <v>0</v>
      </c>
      <c r="G61" s="34">
        <f>'2019-3 СВОД'!G172</f>
        <v>0</v>
      </c>
      <c r="H61" s="402"/>
      <c r="I61" s="402"/>
    </row>
    <row r="62" spans="1:9" ht="12.75" hidden="1">
      <c r="A62" s="21"/>
      <c r="B62" s="29">
        <v>3132</v>
      </c>
      <c r="C62" s="30" t="s">
        <v>80</v>
      </c>
      <c r="D62" s="34">
        <f>'2019-3 СВОД'!D173</f>
        <v>0</v>
      </c>
      <c r="E62" s="34">
        <f>'2019-3 СВОД'!E173</f>
        <v>0</v>
      </c>
      <c r="F62" s="34">
        <f>'2019-3 СВОД'!F173</f>
        <v>0</v>
      </c>
      <c r="G62" s="34">
        <f>'2019-3 СВОД'!G173</f>
        <v>0</v>
      </c>
      <c r="H62" s="402"/>
      <c r="I62" s="402"/>
    </row>
    <row r="63" spans="1:9" ht="12.75" hidden="1">
      <c r="A63" s="21"/>
      <c r="B63" s="29">
        <v>3140</v>
      </c>
      <c r="C63" s="30" t="s">
        <v>81</v>
      </c>
      <c r="D63" s="40">
        <f>D64+D65+D66</f>
        <v>0</v>
      </c>
      <c r="E63" s="40">
        <f>E64+E65+E66</f>
        <v>0</v>
      </c>
      <c r="F63" s="40">
        <f>F64+F65+F66</f>
        <v>0</v>
      </c>
      <c r="G63" s="40">
        <f>G64+G65+G66</f>
        <v>0</v>
      </c>
      <c r="H63" s="402"/>
      <c r="I63" s="402"/>
    </row>
    <row r="64" spans="1:9" ht="12.75" hidden="1">
      <c r="A64" s="21"/>
      <c r="B64" s="29">
        <v>3141</v>
      </c>
      <c r="C64" s="30" t="s">
        <v>82</v>
      </c>
      <c r="D64" s="34">
        <f>'2019-3 СВОД'!D175</f>
        <v>0</v>
      </c>
      <c r="E64" s="34">
        <f>'2019-3 СВОД'!E175</f>
        <v>0</v>
      </c>
      <c r="F64" s="34">
        <f>'2019-3 СВОД'!F175</f>
        <v>0</v>
      </c>
      <c r="G64" s="34">
        <f>'2019-3 СВОД'!G175</f>
        <v>0</v>
      </c>
      <c r="H64" s="402"/>
      <c r="I64" s="402"/>
    </row>
    <row r="65" spans="1:9" ht="12.75" hidden="1">
      <c r="A65" s="21"/>
      <c r="B65" s="29">
        <v>3142</v>
      </c>
      <c r="C65" s="30" t="s">
        <v>83</v>
      </c>
      <c r="D65" s="34">
        <f>'2019-3 СВОД'!D176</f>
        <v>0</v>
      </c>
      <c r="E65" s="34">
        <f>'2019-3 СВОД'!E176</f>
        <v>0</v>
      </c>
      <c r="F65" s="34">
        <f>'2019-3 СВОД'!F176</f>
        <v>0</v>
      </c>
      <c r="G65" s="34">
        <f>'2019-3 СВОД'!G176</f>
        <v>0</v>
      </c>
      <c r="H65" s="402"/>
      <c r="I65" s="402"/>
    </row>
    <row r="66" spans="1:9" ht="12.75" hidden="1">
      <c r="A66" s="21"/>
      <c r="B66" s="29">
        <v>3143</v>
      </c>
      <c r="C66" s="30" t="s">
        <v>84</v>
      </c>
      <c r="D66" s="34">
        <f>'2019-3 СВОД'!D177</f>
        <v>0</v>
      </c>
      <c r="E66" s="34">
        <f>'2019-3 СВОД'!E177</f>
        <v>0</v>
      </c>
      <c r="F66" s="34">
        <f>'2019-3 СВОД'!F177</f>
        <v>0</v>
      </c>
      <c r="G66" s="34">
        <f>'2019-3 СВОД'!G177</f>
        <v>0</v>
      </c>
      <c r="H66" s="402"/>
      <c r="I66" s="402"/>
    </row>
    <row r="67" spans="1:9" ht="12.75" hidden="1">
      <c r="A67" s="21"/>
      <c r="B67" s="29">
        <v>3150</v>
      </c>
      <c r="C67" s="30" t="s">
        <v>85</v>
      </c>
      <c r="D67" s="34">
        <f>'2019-3 СВОД'!D178</f>
        <v>0</v>
      </c>
      <c r="E67" s="34">
        <f>'2019-3 СВОД'!E178</f>
        <v>0</v>
      </c>
      <c r="F67" s="34">
        <f>'2019-3 СВОД'!F178</f>
        <v>0</v>
      </c>
      <c r="G67" s="34">
        <f>'2019-3 СВОД'!G178</f>
        <v>0</v>
      </c>
      <c r="H67" s="402"/>
      <c r="I67" s="402"/>
    </row>
    <row r="68" spans="1:9" ht="12.75" hidden="1">
      <c r="A68" s="21"/>
      <c r="B68" s="29">
        <v>3160</v>
      </c>
      <c r="C68" s="30" t="s">
        <v>86</v>
      </c>
      <c r="D68" s="34">
        <f>'2019-3 СВОД'!D179</f>
        <v>0</v>
      </c>
      <c r="E68" s="34">
        <f>'2019-3 СВОД'!E179</f>
        <v>0</v>
      </c>
      <c r="F68" s="34">
        <f>'2019-3 СВОД'!F179</f>
        <v>0</v>
      </c>
      <c r="G68" s="34">
        <f>'2019-3 СВОД'!G179</f>
        <v>0</v>
      </c>
      <c r="H68" s="402"/>
      <c r="I68" s="402"/>
    </row>
    <row r="69" spans="1:9" ht="12.75" hidden="1">
      <c r="A69" s="21"/>
      <c r="B69" s="27">
        <v>3200</v>
      </c>
      <c r="C69" s="28" t="s">
        <v>87</v>
      </c>
      <c r="D69" s="40">
        <f>D70+D71+D72+D73</f>
        <v>0</v>
      </c>
      <c r="E69" s="40">
        <f>E70+E71+E72+E73</f>
        <v>0</v>
      </c>
      <c r="F69" s="40">
        <f>F70+F71+F72+F73</f>
        <v>0</v>
      </c>
      <c r="G69" s="40">
        <f>G70+G71+G72+G73</f>
        <v>0</v>
      </c>
      <c r="H69" s="402"/>
      <c r="I69" s="402"/>
    </row>
    <row r="70" spans="1:9" ht="12.75" hidden="1">
      <c r="A70" s="21"/>
      <c r="B70" s="29">
        <v>3210</v>
      </c>
      <c r="C70" s="30" t="s">
        <v>88</v>
      </c>
      <c r="D70" s="34">
        <f>'2019-3 СВОД'!D181</f>
        <v>0</v>
      </c>
      <c r="E70" s="34">
        <f>'2019-3 СВОД'!E181</f>
        <v>0</v>
      </c>
      <c r="F70" s="34">
        <f>'2019-3 СВОД'!F181</f>
        <v>0</v>
      </c>
      <c r="G70" s="34">
        <f>'2019-3 СВОД'!G181</f>
        <v>0</v>
      </c>
      <c r="H70" s="402"/>
      <c r="I70" s="402"/>
    </row>
    <row r="71" spans="1:9" ht="12.75" hidden="1">
      <c r="A71" s="21"/>
      <c r="B71" s="29">
        <v>3220</v>
      </c>
      <c r="C71" s="30" t="s">
        <v>89</v>
      </c>
      <c r="D71" s="34">
        <f>'2019-3 СВОД'!D182</f>
        <v>0</v>
      </c>
      <c r="E71" s="34">
        <f>'2019-3 СВОД'!E182</f>
        <v>0</v>
      </c>
      <c r="F71" s="34">
        <f>'2019-3 СВОД'!F182</f>
        <v>0</v>
      </c>
      <c r="G71" s="34">
        <f>'2019-3 СВОД'!G182</f>
        <v>0</v>
      </c>
      <c r="H71" s="402"/>
      <c r="I71" s="402"/>
    </row>
    <row r="72" spans="1:9" ht="12.75" hidden="1">
      <c r="A72" s="21"/>
      <c r="B72" s="29">
        <v>3230</v>
      </c>
      <c r="C72" s="30" t="s">
        <v>90</v>
      </c>
      <c r="D72" s="34">
        <f>'2019-3 СВОД'!D183</f>
        <v>0</v>
      </c>
      <c r="E72" s="34">
        <f>'2019-3 СВОД'!E183</f>
        <v>0</v>
      </c>
      <c r="F72" s="34">
        <f>'2019-3 СВОД'!F183</f>
        <v>0</v>
      </c>
      <c r="G72" s="34">
        <f>'2019-3 СВОД'!G183</f>
        <v>0</v>
      </c>
      <c r="H72" s="402"/>
      <c r="I72" s="402"/>
    </row>
    <row r="73" spans="1:9" ht="13.5" customHeight="1" hidden="1">
      <c r="A73" s="21"/>
      <c r="B73" s="29">
        <v>3240</v>
      </c>
      <c r="C73" s="30" t="s">
        <v>91</v>
      </c>
      <c r="D73" s="34">
        <f>'2019-3 СВОД'!D184</f>
        <v>0</v>
      </c>
      <c r="E73" s="34">
        <f>'2019-3 СВОД'!E184</f>
        <v>0</v>
      </c>
      <c r="F73" s="34">
        <f>'2019-3 СВОД'!F184</f>
        <v>0</v>
      </c>
      <c r="G73" s="34">
        <f>'2019-3 СВОД'!G184</f>
        <v>0</v>
      </c>
      <c r="H73" s="402"/>
      <c r="I73" s="402"/>
    </row>
    <row r="74" spans="1:9" s="19" customFormat="1" ht="13.5" customHeight="1">
      <c r="A74" s="7"/>
      <c r="B74" s="7"/>
      <c r="C74" s="20" t="s">
        <v>3</v>
      </c>
      <c r="D74" s="34">
        <f>D19+D54</f>
        <v>970.79</v>
      </c>
      <c r="E74" s="34">
        <f>E19+E54</f>
        <v>1416.6</v>
      </c>
      <c r="F74" s="34">
        <f>F19+F54</f>
        <v>1514.5</v>
      </c>
      <c r="G74" s="34">
        <f>G19+G54</f>
        <v>0</v>
      </c>
      <c r="H74" s="402"/>
      <c r="I74" s="402"/>
    </row>
    <row r="75" spans="1:8" ht="15">
      <c r="A75" s="115" t="s">
        <v>209</v>
      </c>
      <c r="B75" s="115" t="s">
        <v>209</v>
      </c>
      <c r="C75" s="115"/>
      <c r="D75" s="115"/>
      <c r="E75" s="115"/>
      <c r="F75" s="115"/>
      <c r="G75" s="115"/>
      <c r="H75" s="121"/>
    </row>
    <row r="76" spans="1:9" ht="15" customHeight="1">
      <c r="A76" s="444" t="s">
        <v>25</v>
      </c>
      <c r="B76" s="444"/>
      <c r="C76" s="444"/>
      <c r="D76" s="444"/>
      <c r="E76" s="444"/>
      <c r="F76" s="444"/>
      <c r="G76" s="444"/>
      <c r="H76" s="444"/>
      <c r="I76" s="444"/>
    </row>
    <row r="77" spans="1:9" ht="30" customHeight="1">
      <c r="A77" s="14" t="s">
        <v>20</v>
      </c>
      <c r="B77" s="8" t="s">
        <v>0</v>
      </c>
      <c r="C77" s="14" t="s">
        <v>1</v>
      </c>
      <c r="D77" s="14" t="s">
        <v>14</v>
      </c>
      <c r="E77" s="441" t="s">
        <v>15</v>
      </c>
      <c r="F77" s="441"/>
      <c r="G77" s="441"/>
      <c r="H77" s="14" t="s">
        <v>214</v>
      </c>
      <c r="I77" s="14" t="s">
        <v>215</v>
      </c>
    </row>
    <row r="78" spans="1:9" ht="13.5" thickBot="1">
      <c r="A78" s="17">
        <v>1</v>
      </c>
      <c r="B78" s="17">
        <v>1</v>
      </c>
      <c r="C78" s="38">
        <v>2</v>
      </c>
      <c r="D78" s="38">
        <v>3</v>
      </c>
      <c r="E78" s="427">
        <v>4</v>
      </c>
      <c r="F78" s="427"/>
      <c r="G78" s="427"/>
      <c r="H78" s="38">
        <v>5</v>
      </c>
      <c r="I78" s="38">
        <v>6</v>
      </c>
    </row>
    <row r="79" spans="1:10" s="55" customFormat="1" ht="13.5" thickTop="1">
      <c r="A79" s="279"/>
      <c r="B79" s="280">
        <v>1113110</v>
      </c>
      <c r="C79" s="277" t="s">
        <v>488</v>
      </c>
      <c r="D79" s="281"/>
      <c r="E79" s="451"/>
      <c r="F79" s="451"/>
      <c r="G79" s="451"/>
      <c r="H79" s="281"/>
      <c r="I79" s="281"/>
      <c r="J79" s="276"/>
    </row>
    <row r="80" spans="1:10" s="153" customFormat="1" ht="28.5" customHeight="1">
      <c r="A80" s="285"/>
      <c r="B80" s="286"/>
      <c r="C80" s="455" t="s">
        <v>489</v>
      </c>
      <c r="D80" s="456"/>
      <c r="E80" s="456"/>
      <c r="F80" s="456"/>
      <c r="G80" s="456"/>
      <c r="H80" s="456"/>
      <c r="I80" s="457"/>
      <c r="J80" s="275"/>
    </row>
    <row r="81" spans="1:10" s="60" customFormat="1" ht="12.75">
      <c r="A81" s="282"/>
      <c r="B81" s="278"/>
      <c r="C81" s="61" t="s">
        <v>126</v>
      </c>
      <c r="D81" s="62"/>
      <c r="E81" s="466"/>
      <c r="F81" s="466"/>
      <c r="G81" s="466"/>
      <c r="H81" s="283"/>
      <c r="I81" s="283"/>
      <c r="J81" s="284"/>
    </row>
    <row r="82" spans="1:10" s="60" customFormat="1" ht="12.75" customHeight="1">
      <c r="A82" s="282"/>
      <c r="B82" s="278"/>
      <c r="C82" s="63" t="s">
        <v>480</v>
      </c>
      <c r="D82" s="53" t="s">
        <v>124</v>
      </c>
      <c r="E82" s="452" t="s">
        <v>128</v>
      </c>
      <c r="F82" s="453" t="s">
        <v>128</v>
      </c>
      <c r="G82" s="454" t="s">
        <v>128</v>
      </c>
      <c r="H82" s="287">
        <v>1</v>
      </c>
      <c r="I82" s="283">
        <f>H82</f>
        <v>1</v>
      </c>
      <c r="J82" s="284"/>
    </row>
    <row r="83" spans="1:10" s="60" customFormat="1" ht="12.75" customHeight="1">
      <c r="A83" s="282"/>
      <c r="B83" s="278"/>
      <c r="C83" s="63" t="s">
        <v>481</v>
      </c>
      <c r="D83" s="53" t="s">
        <v>124</v>
      </c>
      <c r="E83" s="452" t="s">
        <v>482</v>
      </c>
      <c r="F83" s="453" t="s">
        <v>482</v>
      </c>
      <c r="G83" s="454" t="s">
        <v>482</v>
      </c>
      <c r="H83" s="287">
        <v>11</v>
      </c>
      <c r="I83" s="295">
        <f aca="true" t="shared" si="0" ref="I83:I91">H83</f>
        <v>11</v>
      </c>
      <c r="J83" s="284"/>
    </row>
    <row r="84" spans="1:10" s="60" customFormat="1" ht="12.75">
      <c r="A84" s="282"/>
      <c r="B84" s="278"/>
      <c r="C84" s="63" t="s">
        <v>483</v>
      </c>
      <c r="D84" s="53" t="s">
        <v>124</v>
      </c>
      <c r="E84" s="452" t="s">
        <v>128</v>
      </c>
      <c r="F84" s="453" t="s">
        <v>128</v>
      </c>
      <c r="G84" s="454" t="s">
        <v>128</v>
      </c>
      <c r="H84" s="287">
        <v>32</v>
      </c>
      <c r="I84" s="295">
        <f t="shared" si="0"/>
        <v>32</v>
      </c>
      <c r="J84" s="284"/>
    </row>
    <row r="85" spans="1:10" s="60" customFormat="1" ht="12.75">
      <c r="A85" s="282"/>
      <c r="B85" s="278"/>
      <c r="C85" s="61" t="s">
        <v>136</v>
      </c>
      <c r="D85" s="62" t="s">
        <v>125</v>
      </c>
      <c r="E85" s="466"/>
      <c r="F85" s="466"/>
      <c r="G85" s="466"/>
      <c r="H85" s="287"/>
      <c r="I85" s="283"/>
      <c r="J85" s="284"/>
    </row>
    <row r="86" spans="1:10" s="60" customFormat="1" ht="12.75" customHeight="1">
      <c r="A86" s="282"/>
      <c r="B86" s="278"/>
      <c r="C86" s="63" t="s">
        <v>484</v>
      </c>
      <c r="D86" s="53" t="s">
        <v>138</v>
      </c>
      <c r="E86" s="452" t="s">
        <v>270</v>
      </c>
      <c r="F86" s="453" t="s">
        <v>270</v>
      </c>
      <c r="G86" s="454" t="s">
        <v>270</v>
      </c>
      <c r="H86" s="287">
        <v>32</v>
      </c>
      <c r="I86" s="295">
        <f t="shared" si="0"/>
        <v>32</v>
      </c>
      <c r="J86" s="284">
        <v>353.33333333333337</v>
      </c>
    </row>
    <row r="87" spans="1:10" s="60" customFormat="1" ht="12.75" customHeight="1">
      <c r="A87" s="282"/>
      <c r="B87" s="278"/>
      <c r="C87" s="61" t="s">
        <v>143</v>
      </c>
      <c r="D87" s="62" t="s">
        <v>125</v>
      </c>
      <c r="E87" s="466"/>
      <c r="F87" s="466"/>
      <c r="G87" s="466"/>
      <c r="H87" s="287"/>
      <c r="I87" s="283"/>
      <c r="J87" s="284"/>
    </row>
    <row r="88" spans="1:10" s="60" customFormat="1" ht="12.75" customHeight="1">
      <c r="A88" s="282"/>
      <c r="B88" s="278"/>
      <c r="C88" s="63" t="s">
        <v>485</v>
      </c>
      <c r="D88" s="53" t="s">
        <v>145</v>
      </c>
      <c r="E88" s="467" t="s">
        <v>146</v>
      </c>
      <c r="F88" s="467"/>
      <c r="G88" s="467"/>
      <c r="H88" s="288">
        <f>F74/H86*1000</f>
        <v>47328.125</v>
      </c>
      <c r="I88" s="297">
        <f t="shared" si="0"/>
        <v>47328.125</v>
      </c>
      <c r="J88" s="284"/>
    </row>
    <row r="89" spans="1:10" s="60" customFormat="1" ht="12.75">
      <c r="A89" s="282"/>
      <c r="B89" s="278"/>
      <c r="C89" s="61" t="s">
        <v>147</v>
      </c>
      <c r="D89" s="62" t="s">
        <v>125</v>
      </c>
      <c r="E89" s="466"/>
      <c r="F89" s="466"/>
      <c r="G89" s="466"/>
      <c r="H89" s="287"/>
      <c r="I89" s="283"/>
      <c r="J89" s="284"/>
    </row>
    <row r="90" spans="1:10" s="60" customFormat="1" ht="39">
      <c r="A90" s="282"/>
      <c r="B90" s="278"/>
      <c r="C90" s="200" t="s">
        <v>486</v>
      </c>
      <c r="D90" s="62" t="s">
        <v>260</v>
      </c>
      <c r="E90" s="468" t="s">
        <v>270</v>
      </c>
      <c r="F90" s="469" t="s">
        <v>270</v>
      </c>
      <c r="G90" s="470" t="s">
        <v>270</v>
      </c>
      <c r="H90" s="287">
        <v>32</v>
      </c>
      <c r="I90" s="295">
        <f t="shared" si="0"/>
        <v>32</v>
      </c>
      <c r="J90" s="284"/>
    </row>
    <row r="91" spans="1:10" s="60" customFormat="1" ht="39">
      <c r="A91" s="282"/>
      <c r="B91" s="278"/>
      <c r="C91" s="63" t="s">
        <v>487</v>
      </c>
      <c r="D91" s="53" t="s">
        <v>123</v>
      </c>
      <c r="E91" s="467" t="s">
        <v>146</v>
      </c>
      <c r="F91" s="467" t="s">
        <v>350</v>
      </c>
      <c r="G91" s="467" t="s">
        <v>350</v>
      </c>
      <c r="H91" s="287">
        <v>200</v>
      </c>
      <c r="I91" s="295">
        <f t="shared" si="0"/>
        <v>200</v>
      </c>
      <c r="J91" s="284"/>
    </row>
    <row r="92" ht="12.75">
      <c r="A92" s="22"/>
    </row>
    <row r="93" spans="1:9" ht="30.75" customHeight="1">
      <c r="A93" s="444" t="s">
        <v>27</v>
      </c>
      <c r="B93" s="444"/>
      <c r="C93" s="444"/>
      <c r="D93" s="444"/>
      <c r="E93" s="444"/>
      <c r="F93" s="444"/>
      <c r="G93" s="444"/>
      <c r="H93" s="444"/>
      <c r="I93" s="444"/>
    </row>
    <row r="94" spans="1:9" ht="15">
      <c r="A94" s="446"/>
      <c r="B94" s="446"/>
      <c r="C94" s="446"/>
      <c r="D94" s="446"/>
      <c r="E94" s="446"/>
      <c r="F94" s="446"/>
      <c r="G94" s="446"/>
      <c r="H94" s="446"/>
      <c r="I94" s="446"/>
    </row>
    <row r="95" spans="1:9" ht="15">
      <c r="A95" s="446"/>
      <c r="B95" s="446"/>
      <c r="C95" s="446"/>
      <c r="D95" s="446"/>
      <c r="E95" s="446"/>
      <c r="F95" s="446"/>
      <c r="G95" s="446"/>
      <c r="H95" s="446"/>
      <c r="I95" s="446"/>
    </row>
    <row r="96" spans="1:9" ht="15">
      <c r="A96" s="442" t="s">
        <v>210</v>
      </c>
      <c r="B96" s="442"/>
      <c r="C96" s="442"/>
      <c r="D96" s="442"/>
      <c r="E96" s="442"/>
      <c r="F96" s="442"/>
      <c r="G96" s="442"/>
      <c r="H96" s="442"/>
      <c r="I96" s="442"/>
    </row>
    <row r="97" ht="12.75">
      <c r="I97" s="2" t="s">
        <v>4</v>
      </c>
    </row>
    <row r="98" spans="1:9" s="19" customFormat="1" ht="12.75">
      <c r="A98" s="443" t="s">
        <v>3</v>
      </c>
      <c r="B98" s="443"/>
      <c r="C98" s="23"/>
      <c r="D98" s="18"/>
      <c r="E98" s="18"/>
      <c r="F98" s="18"/>
      <c r="G98" s="18"/>
      <c r="H98" s="443"/>
      <c r="I98" s="443"/>
    </row>
    <row r="99" ht="12.75">
      <c r="A99" s="3"/>
    </row>
    <row r="100" spans="1:9" ht="30.75" customHeight="1">
      <c r="A100" s="444" t="s">
        <v>211</v>
      </c>
      <c r="B100" s="444"/>
      <c r="C100" s="444"/>
      <c r="D100" s="444"/>
      <c r="E100" s="444"/>
      <c r="F100" s="444"/>
      <c r="G100" s="444"/>
      <c r="H100" s="444"/>
      <c r="I100" s="444"/>
    </row>
    <row r="101" ht="12.75">
      <c r="I101" s="2" t="s">
        <v>4</v>
      </c>
    </row>
    <row r="102" spans="1:9" ht="36.75" customHeight="1">
      <c r="A102" s="441" t="s">
        <v>23</v>
      </c>
      <c r="B102" s="441"/>
      <c r="C102" s="441" t="s">
        <v>1</v>
      </c>
      <c r="D102" s="441" t="s">
        <v>7</v>
      </c>
      <c r="E102" s="441"/>
      <c r="F102" s="441" t="s">
        <v>178</v>
      </c>
      <c r="G102" s="441"/>
      <c r="H102" s="441" t="s">
        <v>212</v>
      </c>
      <c r="I102" s="441"/>
    </row>
    <row r="103" spans="1:9" ht="36" customHeight="1">
      <c r="A103" s="441"/>
      <c r="B103" s="441"/>
      <c r="C103" s="441"/>
      <c r="D103" s="14" t="s">
        <v>28</v>
      </c>
      <c r="E103" s="14" t="s">
        <v>36</v>
      </c>
      <c r="F103" s="14" t="s">
        <v>28</v>
      </c>
      <c r="G103" s="14" t="s">
        <v>36</v>
      </c>
      <c r="H103" s="441"/>
      <c r="I103" s="441"/>
    </row>
    <row r="104" spans="1:9" ht="13.5" thickBot="1">
      <c r="A104" s="445">
        <v>1</v>
      </c>
      <c r="B104" s="445"/>
      <c r="C104" s="17">
        <v>2</v>
      </c>
      <c r="D104" s="16">
        <v>3</v>
      </c>
      <c r="E104" s="16">
        <v>4</v>
      </c>
      <c r="F104" s="16">
        <v>5</v>
      </c>
      <c r="G104" s="16">
        <v>6</v>
      </c>
      <c r="H104" s="445">
        <v>7</v>
      </c>
      <c r="I104" s="445"/>
    </row>
    <row r="105" spans="1:9" ht="13.5" thickTop="1">
      <c r="A105" s="447"/>
      <c r="B105" s="447"/>
      <c r="C105" s="15"/>
      <c r="D105" s="25"/>
      <c r="E105" s="25"/>
      <c r="F105" s="25"/>
      <c r="G105" s="25"/>
      <c r="H105" s="440"/>
      <c r="I105" s="440"/>
    </row>
    <row r="106" spans="1:9" ht="12.75">
      <c r="A106" s="402"/>
      <c r="B106" s="402"/>
      <c r="C106" s="12"/>
      <c r="D106" s="11"/>
      <c r="E106" s="11"/>
      <c r="F106" s="11"/>
      <c r="G106" s="11"/>
      <c r="H106" s="427"/>
      <c r="I106" s="427"/>
    </row>
    <row r="107" spans="1:9" ht="12.75">
      <c r="A107" s="402"/>
      <c r="B107" s="402"/>
      <c r="C107" s="12"/>
      <c r="D107" s="11"/>
      <c r="E107" s="11"/>
      <c r="F107" s="11"/>
      <c r="G107" s="11"/>
      <c r="H107" s="427"/>
      <c r="I107" s="427"/>
    </row>
    <row r="108" spans="1:9" ht="12.75">
      <c r="A108" s="402"/>
      <c r="B108" s="402"/>
      <c r="C108" s="12"/>
      <c r="D108" s="11"/>
      <c r="E108" s="11"/>
      <c r="F108" s="11"/>
      <c r="G108" s="11"/>
      <c r="H108" s="427"/>
      <c r="I108" s="427"/>
    </row>
    <row r="109" spans="1:9" ht="12.75">
      <c r="A109" s="402"/>
      <c r="B109" s="402"/>
      <c r="C109" s="12"/>
      <c r="D109" s="11"/>
      <c r="E109" s="11"/>
      <c r="F109" s="11"/>
      <c r="G109" s="11"/>
      <c r="H109" s="427"/>
      <c r="I109" s="427"/>
    </row>
    <row r="110" ht="15">
      <c r="A110" s="1"/>
    </row>
    <row r="111" spans="1:9" ht="14.25" customHeight="1">
      <c r="A111" s="444" t="s">
        <v>25</v>
      </c>
      <c r="B111" s="444"/>
      <c r="C111" s="444"/>
      <c r="D111" s="444"/>
      <c r="E111" s="444"/>
      <c r="F111" s="444"/>
      <c r="G111" s="444"/>
      <c r="H111" s="444"/>
      <c r="I111" s="444"/>
    </row>
    <row r="112" spans="1:9" ht="72.75" customHeight="1">
      <c r="A112" s="14" t="s">
        <v>20</v>
      </c>
      <c r="B112" s="8" t="s">
        <v>0</v>
      </c>
      <c r="C112" s="14" t="s">
        <v>1</v>
      </c>
      <c r="D112" s="14" t="s">
        <v>14</v>
      </c>
      <c r="E112" s="14" t="s">
        <v>15</v>
      </c>
      <c r="F112" s="14" t="s">
        <v>29</v>
      </c>
      <c r="G112" s="14" t="s">
        <v>30</v>
      </c>
      <c r="H112" s="14" t="s">
        <v>31</v>
      </c>
      <c r="I112" s="14" t="s">
        <v>32</v>
      </c>
    </row>
    <row r="113" spans="1:9" ht="13.5" thickBot="1">
      <c r="A113" s="17">
        <v>1</v>
      </c>
      <c r="B113" s="17">
        <v>2</v>
      </c>
      <c r="C113" s="16">
        <v>3</v>
      </c>
      <c r="D113" s="16">
        <v>4</v>
      </c>
      <c r="E113" s="16">
        <v>5</v>
      </c>
      <c r="F113" s="16">
        <v>6</v>
      </c>
      <c r="G113" s="16">
        <v>7</v>
      </c>
      <c r="H113" s="16">
        <v>8</v>
      </c>
      <c r="I113" s="16">
        <v>9</v>
      </c>
    </row>
    <row r="114" spans="1:9" ht="13.5" hidden="1" thickTop="1">
      <c r="A114" s="24"/>
      <c r="B114" s="26"/>
      <c r="C114" s="26" t="s">
        <v>10</v>
      </c>
      <c r="D114" s="24"/>
      <c r="E114" s="24"/>
      <c r="F114" s="24"/>
      <c r="G114" s="24"/>
      <c r="H114" s="24"/>
      <c r="I114" s="24"/>
    </row>
    <row r="115" spans="1:9" ht="13.5" hidden="1" thickTop="1">
      <c r="A115" s="18"/>
      <c r="B115" s="12"/>
      <c r="C115" s="12" t="s">
        <v>26</v>
      </c>
      <c r="D115" s="18"/>
      <c r="E115" s="18"/>
      <c r="F115" s="18"/>
      <c r="G115" s="18"/>
      <c r="H115" s="18"/>
      <c r="I115" s="18"/>
    </row>
    <row r="116" spans="1:9" ht="13.5" hidden="1" thickTop="1">
      <c r="A116" s="18"/>
      <c r="B116" s="12"/>
      <c r="C116" s="12" t="s">
        <v>16</v>
      </c>
      <c r="D116" s="18"/>
      <c r="E116" s="18"/>
      <c r="F116" s="18"/>
      <c r="G116" s="18"/>
      <c r="H116" s="18"/>
      <c r="I116" s="18"/>
    </row>
    <row r="117" spans="1:9" ht="13.5" hidden="1" thickTop="1">
      <c r="A117" s="18"/>
      <c r="B117" s="12"/>
      <c r="C117" s="12" t="s">
        <v>2</v>
      </c>
      <c r="D117" s="18"/>
      <c r="E117" s="18"/>
      <c r="F117" s="18"/>
      <c r="G117" s="18"/>
      <c r="H117" s="18"/>
      <c r="I117" s="18"/>
    </row>
    <row r="118" spans="1:9" ht="13.5" hidden="1" thickTop="1">
      <c r="A118" s="18"/>
      <c r="B118" s="12"/>
      <c r="C118" s="12" t="s">
        <v>17</v>
      </c>
      <c r="D118" s="18"/>
      <c r="E118" s="18"/>
      <c r="F118" s="18"/>
      <c r="G118" s="18"/>
      <c r="H118" s="18"/>
      <c r="I118" s="18"/>
    </row>
    <row r="119" spans="1:9" ht="13.5" hidden="1" thickTop="1">
      <c r="A119" s="18"/>
      <c r="B119" s="12"/>
      <c r="C119" s="12" t="s">
        <v>2</v>
      </c>
      <c r="D119" s="18"/>
      <c r="E119" s="18"/>
      <c r="F119" s="18"/>
      <c r="G119" s="18"/>
      <c r="H119" s="18"/>
      <c r="I119" s="18"/>
    </row>
    <row r="120" spans="1:9" ht="13.5" hidden="1" thickTop="1">
      <c r="A120" s="18"/>
      <c r="B120" s="12"/>
      <c r="C120" s="12" t="s">
        <v>18</v>
      </c>
      <c r="D120" s="18"/>
      <c r="E120" s="18"/>
      <c r="F120" s="18"/>
      <c r="G120" s="18"/>
      <c r="H120" s="18"/>
      <c r="I120" s="18"/>
    </row>
    <row r="121" spans="1:9" ht="13.5" hidden="1" thickTop="1">
      <c r="A121" s="18"/>
      <c r="B121" s="12"/>
      <c r="C121" s="12" t="s">
        <v>33</v>
      </c>
      <c r="D121" s="18"/>
      <c r="E121" s="18"/>
      <c r="F121" s="18"/>
      <c r="G121" s="18"/>
      <c r="H121" s="18"/>
      <c r="I121" s="18"/>
    </row>
    <row r="122" spans="1:9" ht="13.5" hidden="1" thickTop="1">
      <c r="A122" s="18"/>
      <c r="B122" s="12"/>
      <c r="C122" s="12" t="s">
        <v>19</v>
      </c>
      <c r="D122" s="18"/>
      <c r="E122" s="18"/>
      <c r="F122" s="18"/>
      <c r="G122" s="18"/>
      <c r="H122" s="18"/>
      <c r="I122" s="18"/>
    </row>
    <row r="123" spans="1:9" ht="13.5" hidden="1" thickTop="1">
      <c r="A123" s="18"/>
      <c r="B123" s="12"/>
      <c r="C123" s="12" t="s">
        <v>2</v>
      </c>
      <c r="D123" s="18"/>
      <c r="E123" s="18"/>
      <c r="F123" s="18"/>
      <c r="G123" s="18"/>
      <c r="H123" s="18"/>
      <c r="I123" s="18"/>
    </row>
    <row r="124" spans="1:9" ht="13.5" hidden="1" thickTop="1">
      <c r="A124" s="18"/>
      <c r="B124" s="13"/>
      <c r="C124" s="13" t="s">
        <v>11</v>
      </c>
      <c r="D124" s="18"/>
      <c r="E124" s="18"/>
      <c r="F124" s="18"/>
      <c r="G124" s="18"/>
      <c r="H124" s="18"/>
      <c r="I124" s="18"/>
    </row>
    <row r="125" spans="1:9" ht="13.5" thickTop="1">
      <c r="A125" s="18"/>
      <c r="B125" s="12"/>
      <c r="C125" s="12" t="s">
        <v>2</v>
      </c>
      <c r="D125" s="18"/>
      <c r="E125" s="18"/>
      <c r="F125" s="18"/>
      <c r="G125" s="18"/>
      <c r="H125" s="18"/>
      <c r="I125" s="18"/>
    </row>
    <row r="126" ht="12.75">
      <c r="A126" s="22"/>
    </row>
    <row r="127" spans="1:9" ht="30.75" customHeight="1">
      <c r="A127" s="444" t="s">
        <v>34</v>
      </c>
      <c r="B127" s="444"/>
      <c r="C127" s="444"/>
      <c r="D127" s="444"/>
      <c r="E127" s="444"/>
      <c r="F127" s="444"/>
      <c r="G127" s="444"/>
      <c r="H127" s="444"/>
      <c r="I127" s="444"/>
    </row>
    <row r="128" spans="1:9" ht="15">
      <c r="A128" s="446"/>
      <c r="B128" s="446"/>
      <c r="C128" s="446"/>
      <c r="D128" s="446"/>
      <c r="E128" s="446"/>
      <c r="F128" s="446"/>
      <c r="G128" s="446"/>
      <c r="H128" s="446"/>
      <c r="I128" s="446"/>
    </row>
    <row r="129" spans="1:9" ht="15">
      <c r="A129" s="442" t="s">
        <v>213</v>
      </c>
      <c r="B129" s="442"/>
      <c r="C129" s="442"/>
      <c r="D129" s="442"/>
      <c r="E129" s="442"/>
      <c r="F129" s="442"/>
      <c r="G129" s="442"/>
      <c r="H129" s="442"/>
      <c r="I129" s="442"/>
    </row>
    <row r="130" spans="1:9" ht="12.75">
      <c r="A130" s="2" t="s">
        <v>35</v>
      </c>
      <c r="I130" s="2" t="s">
        <v>4</v>
      </c>
    </row>
    <row r="131" spans="1:9" s="19" customFormat="1" ht="12.75">
      <c r="A131" s="443" t="s">
        <v>3</v>
      </c>
      <c r="B131" s="443"/>
      <c r="C131" s="23"/>
      <c r="D131" s="18"/>
      <c r="E131" s="18"/>
      <c r="F131" s="18"/>
      <c r="G131" s="18"/>
      <c r="H131" s="443"/>
      <c r="I131" s="443"/>
    </row>
    <row r="132" ht="12.75">
      <c r="A132" s="4"/>
    </row>
    <row r="133" ht="12.75">
      <c r="A133" s="4"/>
    </row>
    <row r="134" spans="1:9" ht="18.75" customHeight="1">
      <c r="A134" s="393" t="s">
        <v>159</v>
      </c>
      <c r="B134" s="393"/>
      <c r="C134" s="393"/>
      <c r="E134" s="392" t="s">
        <v>8</v>
      </c>
      <c r="F134" s="392"/>
      <c r="H134" s="392" t="s">
        <v>108</v>
      </c>
      <c r="I134" s="392"/>
    </row>
    <row r="135" spans="1:9" ht="15">
      <c r="A135" s="5"/>
      <c r="B135" s="5"/>
      <c r="E135" s="431" t="s">
        <v>5</v>
      </c>
      <c r="F135" s="431"/>
      <c r="H135" s="431" t="s">
        <v>6</v>
      </c>
      <c r="I135" s="431"/>
    </row>
    <row r="136" spans="1:8" ht="12.75" customHeight="1">
      <c r="A136" s="10"/>
      <c r="B136" s="10"/>
      <c r="E136" s="9"/>
      <c r="H136" s="9"/>
    </row>
    <row r="137" spans="1:9" ht="18.75" customHeight="1">
      <c r="A137" s="393" t="s">
        <v>107</v>
      </c>
      <c r="B137" s="393"/>
      <c r="C137" s="393"/>
      <c r="E137" s="392" t="s">
        <v>8</v>
      </c>
      <c r="F137" s="392"/>
      <c r="H137" s="392" t="s">
        <v>109</v>
      </c>
      <c r="I137" s="392"/>
    </row>
    <row r="138" spans="1:9" ht="15">
      <c r="A138" s="5"/>
      <c r="E138" s="431" t="s">
        <v>5</v>
      </c>
      <c r="F138" s="431"/>
      <c r="H138" s="431" t="s">
        <v>6</v>
      </c>
      <c r="I138" s="431"/>
    </row>
    <row r="139" ht="12.75">
      <c r="A139" s="4"/>
    </row>
    <row r="140" ht="12.75">
      <c r="A140" s="4"/>
    </row>
  </sheetData>
  <sheetProtection/>
  <mergeCells count="128">
    <mergeCell ref="A1:I1"/>
    <mergeCell ref="A3:I3"/>
    <mergeCell ref="A4:I4"/>
    <mergeCell ref="B5:J5"/>
    <mergeCell ref="B6:J6"/>
    <mergeCell ref="B12:I12"/>
    <mergeCell ref="A14:B15"/>
    <mergeCell ref="C14:C15"/>
    <mergeCell ref="D14:D15"/>
    <mergeCell ref="E14:E15"/>
    <mergeCell ref="F14:G14"/>
    <mergeCell ref="H14:I15"/>
    <mergeCell ref="A16:B16"/>
    <mergeCell ref="H16:I16"/>
    <mergeCell ref="H17:I17"/>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71:I71"/>
    <mergeCell ref="H72:I72"/>
    <mergeCell ref="H73:I73"/>
    <mergeCell ref="H74:I74"/>
    <mergeCell ref="A76:I76"/>
    <mergeCell ref="A95:I95"/>
    <mergeCell ref="A96:I96"/>
    <mergeCell ref="A98:B98"/>
    <mergeCell ref="H98:I98"/>
    <mergeCell ref="E77:G77"/>
    <mergeCell ref="E78:G78"/>
    <mergeCell ref="E79:G79"/>
    <mergeCell ref="C80:I80"/>
    <mergeCell ref="E81:G81"/>
    <mergeCell ref="E82:G82"/>
    <mergeCell ref="A100:I100"/>
    <mergeCell ref="A102:B103"/>
    <mergeCell ref="C102:C103"/>
    <mergeCell ref="D102:E102"/>
    <mergeCell ref="F102:G102"/>
    <mergeCell ref="H102:I103"/>
    <mergeCell ref="A109:B109"/>
    <mergeCell ref="H109:I109"/>
    <mergeCell ref="E85:G85"/>
    <mergeCell ref="E86:G86"/>
    <mergeCell ref="E83:G83"/>
    <mergeCell ref="E84:G84"/>
    <mergeCell ref="A104:B104"/>
    <mergeCell ref="H104:I104"/>
    <mergeCell ref="A105:B105"/>
    <mergeCell ref="H105:I105"/>
    <mergeCell ref="E91:G91"/>
    <mergeCell ref="E90:G90"/>
    <mergeCell ref="A107:B107"/>
    <mergeCell ref="H107:I107"/>
    <mergeCell ref="A108:B108"/>
    <mergeCell ref="H108:I108"/>
    <mergeCell ref="A106:B106"/>
    <mergeCell ref="H106:I106"/>
    <mergeCell ref="A93:I93"/>
    <mergeCell ref="A94:I94"/>
    <mergeCell ref="E87:G87"/>
    <mergeCell ref="H137:I137"/>
    <mergeCell ref="A111:I111"/>
    <mergeCell ref="A127:I127"/>
    <mergeCell ref="A128:I128"/>
    <mergeCell ref="A129:I129"/>
    <mergeCell ref="A131:B131"/>
    <mergeCell ref="H131:I131"/>
    <mergeCell ref="E88:G88"/>
    <mergeCell ref="E89:G89"/>
    <mergeCell ref="E138:F138"/>
    <mergeCell ref="H138:I138"/>
    <mergeCell ref="H18:I18"/>
    <mergeCell ref="A134:C134"/>
    <mergeCell ref="E134:F134"/>
    <mergeCell ref="H134:I134"/>
    <mergeCell ref="E135:F135"/>
    <mergeCell ref="H135:I135"/>
    <mergeCell ref="A137:C137"/>
    <mergeCell ref="E137:F137"/>
  </mergeCells>
  <printOptions horizontalCentered="1"/>
  <pageMargins left="0.2362204724409449" right="0.15748031496062992" top="0.1968503937007874" bottom="0.15748031496062992" header="0.1968503937007874" footer="0.11811023622047245"/>
  <pageSetup fitToHeight="0" fitToWidth="1"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J205"/>
  <sheetViews>
    <sheetView view="pageBreakPreview" zoomScale="90" zoomScaleSheetLayoutView="90" zoomScalePageLayoutView="0" workbookViewId="0" topLeftCell="B4">
      <selection activeCell="H155" sqref="H155"/>
    </sheetView>
  </sheetViews>
  <sheetFormatPr defaultColWidth="9.00390625" defaultRowHeight="12.75"/>
  <cols>
    <col min="1" max="1" width="6.375" style="0" hidden="1" customWidth="1"/>
    <col min="2" max="2" width="7.625" style="0" customWidth="1"/>
    <col min="3" max="3" width="84.50390625" style="0" customWidth="1"/>
    <col min="4" max="4" width="8.375" style="0" customWidth="1"/>
    <col min="5" max="6" width="8.50390625" style="0" customWidth="1"/>
    <col min="7" max="7" width="11.375" style="0" customWidth="1"/>
    <col min="8" max="8" width="32.50390625" style="0" customWidth="1"/>
    <col min="9" max="9" width="32.375" style="0" customWidth="1"/>
    <col min="10" max="10" width="10.50390625" style="0" customWidth="1"/>
  </cols>
  <sheetData>
    <row r="1" spans="1:9" s="60" customFormat="1" ht="21" thickBot="1">
      <c r="A1" s="432" t="s">
        <v>217</v>
      </c>
      <c r="B1" s="432"/>
      <c r="C1" s="432"/>
      <c r="D1" s="432"/>
      <c r="E1" s="432"/>
      <c r="F1" s="432"/>
      <c r="G1" s="432"/>
      <c r="H1" s="432"/>
      <c r="I1" s="432"/>
    </row>
    <row r="2" s="60" customFormat="1" ht="9.75" customHeight="1" thickTop="1">
      <c r="A2" s="70"/>
    </row>
    <row r="3" spans="1:9" s="60" customFormat="1" ht="15">
      <c r="A3" s="433" t="s">
        <v>160</v>
      </c>
      <c r="B3" s="433"/>
      <c r="C3" s="433"/>
      <c r="D3" s="433"/>
      <c r="E3" s="433"/>
      <c r="F3" s="433"/>
      <c r="G3" s="433"/>
      <c r="H3" s="433"/>
      <c r="I3" s="433"/>
    </row>
    <row r="4" spans="1:9" s="60" customFormat="1" ht="12" customHeight="1">
      <c r="A4" s="434" t="s">
        <v>206</v>
      </c>
      <c r="B4" s="434"/>
      <c r="C4" s="434"/>
      <c r="D4" s="434"/>
      <c r="E4" s="434"/>
      <c r="F4" s="434"/>
      <c r="G4" s="434"/>
      <c r="H4" s="434"/>
      <c r="I4" s="434"/>
    </row>
    <row r="5" spans="1:10" s="60" customFormat="1" ht="12" customHeight="1">
      <c r="A5" s="112"/>
      <c r="B5" s="433" t="s">
        <v>205</v>
      </c>
      <c r="C5" s="433"/>
      <c r="D5" s="433"/>
      <c r="E5" s="433"/>
      <c r="F5" s="433"/>
      <c r="G5" s="433"/>
      <c r="H5" s="433"/>
      <c r="I5" s="433"/>
      <c r="J5" s="433"/>
    </row>
    <row r="6" spans="1:10" s="60" customFormat="1" ht="12" customHeight="1">
      <c r="A6" s="112"/>
      <c r="B6" s="434" t="s">
        <v>207</v>
      </c>
      <c r="C6" s="434"/>
      <c r="D6" s="434"/>
      <c r="E6" s="434"/>
      <c r="F6" s="434"/>
      <c r="G6" s="434"/>
      <c r="H6" s="434"/>
      <c r="I6" s="434"/>
      <c r="J6" s="434"/>
    </row>
    <row r="7" spans="1:9" s="60" customFormat="1" ht="12" customHeight="1">
      <c r="A7" s="112"/>
      <c r="B7" s="119"/>
      <c r="C7" s="116"/>
      <c r="D7" s="116"/>
      <c r="E7" s="116"/>
      <c r="F7" s="116"/>
      <c r="G7" s="116"/>
      <c r="H7" s="116"/>
      <c r="I7" s="116"/>
    </row>
    <row r="8" spans="1:9" s="60" customFormat="1" ht="12" customHeight="1">
      <c r="A8" s="112"/>
      <c r="B8" s="115" t="s">
        <v>237</v>
      </c>
      <c r="C8" s="116"/>
      <c r="D8" s="116"/>
      <c r="E8" s="116"/>
      <c r="F8" s="116"/>
      <c r="G8" s="116"/>
      <c r="H8" s="116"/>
      <c r="I8" s="116"/>
    </row>
    <row r="9" spans="1:9" s="60" customFormat="1" ht="12" customHeight="1">
      <c r="A9" s="112"/>
      <c r="B9" s="117"/>
      <c r="C9" s="118" t="s">
        <v>201</v>
      </c>
      <c r="D9" s="116"/>
      <c r="E9" s="120" t="s">
        <v>202</v>
      </c>
      <c r="F9" s="116"/>
      <c r="H9" s="116"/>
      <c r="I9" s="116"/>
    </row>
    <row r="10" spans="1:9" s="60" customFormat="1" ht="12" customHeight="1">
      <c r="A10" s="112"/>
      <c r="B10" s="121"/>
      <c r="C10" s="121"/>
      <c r="D10" s="121"/>
      <c r="E10" s="121"/>
      <c r="F10" s="121"/>
      <c r="G10" s="121"/>
      <c r="H10" s="121"/>
      <c r="I10" s="121"/>
    </row>
    <row r="11" spans="1:9" s="60" customFormat="1" ht="12" customHeight="1">
      <c r="A11" s="112"/>
      <c r="B11" s="115" t="s">
        <v>203</v>
      </c>
      <c r="C11" s="115"/>
      <c r="D11" s="115"/>
      <c r="E11" s="115"/>
      <c r="F11" s="115"/>
      <c r="G11" s="115"/>
      <c r="H11" s="115"/>
      <c r="I11" s="115"/>
    </row>
    <row r="12" spans="1:9" s="60" customFormat="1" ht="12" customHeight="1">
      <c r="A12" s="112"/>
      <c r="B12" s="400" t="s">
        <v>204</v>
      </c>
      <c r="C12" s="400"/>
      <c r="D12" s="400"/>
      <c r="E12" s="400"/>
      <c r="F12" s="400"/>
      <c r="G12" s="400"/>
      <c r="H12" s="400"/>
      <c r="I12" s="400"/>
    </row>
    <row r="13" s="60" customFormat="1" ht="12.75">
      <c r="I13" s="71" t="s">
        <v>4</v>
      </c>
    </row>
    <row r="14" spans="1:9" s="60" customFormat="1" ht="12.75">
      <c r="A14" s="417" t="s">
        <v>23</v>
      </c>
      <c r="B14" s="417"/>
      <c r="C14" s="417" t="s">
        <v>1</v>
      </c>
      <c r="D14" s="417" t="s">
        <v>175</v>
      </c>
      <c r="E14" s="417" t="s">
        <v>176</v>
      </c>
      <c r="F14" s="417" t="s">
        <v>177</v>
      </c>
      <c r="G14" s="417"/>
      <c r="H14" s="417" t="s">
        <v>208</v>
      </c>
      <c r="I14" s="417"/>
    </row>
    <row r="15" spans="1:9" s="60" customFormat="1" ht="27" customHeight="1">
      <c r="A15" s="417"/>
      <c r="B15" s="417"/>
      <c r="C15" s="417"/>
      <c r="D15" s="417"/>
      <c r="E15" s="417"/>
      <c r="F15" s="111" t="s">
        <v>24</v>
      </c>
      <c r="G15" s="111" t="s">
        <v>36</v>
      </c>
      <c r="H15" s="417"/>
      <c r="I15" s="417"/>
    </row>
    <row r="16" spans="1:9" s="60" customFormat="1" ht="13.5" thickBot="1">
      <c r="A16" s="415">
        <v>1</v>
      </c>
      <c r="B16" s="415"/>
      <c r="C16" s="113">
        <v>2</v>
      </c>
      <c r="D16" s="113">
        <v>3</v>
      </c>
      <c r="E16" s="113">
        <v>4</v>
      </c>
      <c r="F16" s="113">
        <v>5</v>
      </c>
      <c r="G16" s="113">
        <v>6</v>
      </c>
      <c r="H16" s="416">
        <v>7</v>
      </c>
      <c r="I16" s="416"/>
    </row>
    <row r="17" spans="2:9" s="165" customFormat="1" ht="13.5" thickTop="1">
      <c r="B17" s="169">
        <f>'2019-3 СВОД'!B186</f>
        <v>1113120</v>
      </c>
      <c r="C17" s="169" t="str">
        <f>'2019-3 СВОД'!C186</f>
        <v>Програма Здійснення соціальної роботи з вразливими категоріями населення</v>
      </c>
      <c r="D17" s="166">
        <f>D18+D75</f>
        <v>405.52</v>
      </c>
      <c r="E17" s="166">
        <f>E18+E75</f>
        <v>420.19</v>
      </c>
      <c r="F17" s="166">
        <f>F18+F75</f>
        <v>347.2</v>
      </c>
      <c r="G17" s="166">
        <f>G18+G75</f>
        <v>0</v>
      </c>
      <c r="H17" s="428"/>
      <c r="I17" s="428"/>
    </row>
    <row r="18" spans="2:9" s="156" customFormat="1" ht="26.25">
      <c r="B18" s="154">
        <f>'2019-3 СВОД'!B187</f>
        <v>1113122</v>
      </c>
      <c r="C18" s="154" t="str">
        <f>'2019-3 СВОД'!C187</f>
        <v>Підпрограма Заходи державнох політики із забезпечення рівних прав та можливостей жінок та чоловіків</v>
      </c>
      <c r="D18" s="124">
        <f>D19+D54</f>
        <v>54.28999999999999</v>
      </c>
      <c r="E18" s="124">
        <f>E19+E54</f>
        <v>162</v>
      </c>
      <c r="F18" s="124">
        <f>F19+F54</f>
        <v>147.2</v>
      </c>
      <c r="G18" s="124">
        <f>G19+G54</f>
        <v>0</v>
      </c>
      <c r="H18" s="464"/>
      <c r="I18" s="465"/>
    </row>
    <row r="19" spans="1:9" ht="12.75">
      <c r="A19" s="6"/>
      <c r="B19" s="27">
        <v>2000</v>
      </c>
      <c r="C19" s="28" t="s">
        <v>37</v>
      </c>
      <c r="D19" s="33">
        <f>D20+D25+D42+D45+D49+D53</f>
        <v>54.28999999999999</v>
      </c>
      <c r="E19" s="33">
        <f>E20+E25+E42+E45+E49+E53</f>
        <v>162</v>
      </c>
      <c r="F19" s="33">
        <f>F20+F25+F42+F45+F49+F53</f>
        <v>147.2</v>
      </c>
      <c r="G19" s="33">
        <f>G20+G25+G42+G45+G49+G53</f>
        <v>0</v>
      </c>
      <c r="H19" s="402"/>
      <c r="I19" s="402"/>
    </row>
    <row r="20" spans="1:9" ht="12.75" customHeight="1" hidden="1">
      <c r="A20" s="6"/>
      <c r="B20" s="29">
        <v>2100</v>
      </c>
      <c r="C20" s="30" t="s">
        <v>38</v>
      </c>
      <c r="D20" s="35">
        <f>D21+D24</f>
        <v>0</v>
      </c>
      <c r="E20" s="35">
        <f>E21+E24</f>
        <v>0</v>
      </c>
      <c r="F20" s="35">
        <f>F21+F24</f>
        <v>0</v>
      </c>
      <c r="G20" s="35">
        <f>G21+G24</f>
        <v>0</v>
      </c>
      <c r="H20" s="402"/>
      <c r="I20" s="402"/>
    </row>
    <row r="21" spans="1:9" ht="12.75" customHeight="1" hidden="1">
      <c r="A21" s="6"/>
      <c r="B21" s="29">
        <v>2110</v>
      </c>
      <c r="C21" s="30" t="s">
        <v>39</v>
      </c>
      <c r="D21" s="35">
        <f>D22+D23</f>
        <v>0</v>
      </c>
      <c r="E21" s="35">
        <f>E22+E23</f>
        <v>0</v>
      </c>
      <c r="F21" s="35">
        <f>F22+F23</f>
        <v>0</v>
      </c>
      <c r="G21" s="35">
        <f>G22+G23</f>
        <v>0</v>
      </c>
      <c r="H21" s="402"/>
      <c r="I21" s="402"/>
    </row>
    <row r="22" spans="1:9" ht="12.75" customHeight="1" hidden="1">
      <c r="A22" s="6"/>
      <c r="B22" s="29">
        <v>2111</v>
      </c>
      <c r="C22" s="30" t="s">
        <v>42</v>
      </c>
      <c r="D22" s="34">
        <f>'2019-3 СВОД'!D191</f>
        <v>0</v>
      </c>
      <c r="E22" s="34">
        <f>'2019-3 СВОД'!E191</f>
        <v>0</v>
      </c>
      <c r="F22" s="34">
        <f>'2019-3 СВОД'!F191</f>
        <v>0</v>
      </c>
      <c r="G22" s="34">
        <f>'2019-3 СВОД'!G191</f>
        <v>0</v>
      </c>
      <c r="H22" s="402"/>
      <c r="I22" s="402"/>
    </row>
    <row r="23" spans="1:9" ht="12.75" customHeight="1" hidden="1">
      <c r="A23" s="6"/>
      <c r="B23" s="29">
        <v>2112</v>
      </c>
      <c r="C23" s="30" t="s">
        <v>43</v>
      </c>
      <c r="D23" s="34">
        <f>'2019-3 СВОД'!D192</f>
        <v>0</v>
      </c>
      <c r="E23" s="34">
        <f>'2019-3 СВОД'!E192</f>
        <v>0</v>
      </c>
      <c r="F23" s="34">
        <f>'2019-3 СВОД'!F192</f>
        <v>0</v>
      </c>
      <c r="G23" s="34">
        <f>'2019-3 СВОД'!G192</f>
        <v>0</v>
      </c>
      <c r="H23" s="402"/>
      <c r="I23" s="402"/>
    </row>
    <row r="24" spans="1:9" ht="12.75" customHeight="1" hidden="1">
      <c r="A24" s="6"/>
      <c r="B24" s="29">
        <v>2120</v>
      </c>
      <c r="C24" s="30" t="s">
        <v>44</v>
      </c>
      <c r="D24" s="34">
        <f>'2019-3 СВОД'!D193</f>
        <v>0</v>
      </c>
      <c r="E24" s="34">
        <f>'2019-3 СВОД'!E193</f>
        <v>0</v>
      </c>
      <c r="F24" s="34">
        <f>'2019-3 СВОД'!F193</f>
        <v>0</v>
      </c>
      <c r="G24" s="34">
        <f>'2019-3 СВОД'!G193</f>
        <v>0</v>
      </c>
      <c r="H24" s="402"/>
      <c r="I24" s="402"/>
    </row>
    <row r="25" spans="1:9" ht="12.75" customHeight="1">
      <c r="A25" s="6"/>
      <c r="B25" s="27">
        <v>2200</v>
      </c>
      <c r="C25" s="28" t="s">
        <v>45</v>
      </c>
      <c r="D25" s="33">
        <f>SUM(D26:D32)+D39</f>
        <v>54.28999999999999</v>
      </c>
      <c r="E25" s="33">
        <f>SUM(E26:E32)+E39</f>
        <v>162</v>
      </c>
      <c r="F25" s="33">
        <f>SUM(F26:F32)+F39</f>
        <v>147.2</v>
      </c>
      <c r="G25" s="33">
        <f>SUM(G26:G32)+G39</f>
        <v>0</v>
      </c>
      <c r="H25" s="402"/>
      <c r="I25" s="402"/>
    </row>
    <row r="26" spans="1:9" ht="12.75">
      <c r="A26" s="6"/>
      <c r="B26" s="29">
        <v>2210</v>
      </c>
      <c r="C26" s="30" t="s">
        <v>46</v>
      </c>
      <c r="D26" s="34">
        <f>'2019-3 СВОД'!D195</f>
        <v>18.34</v>
      </c>
      <c r="E26" s="34">
        <f>'2019-3 СВОД'!E195</f>
        <v>73</v>
      </c>
      <c r="F26" s="34">
        <f>'2019-3 СВОД'!F195</f>
        <v>64.3</v>
      </c>
      <c r="G26" s="34">
        <f>'2019-3 СВОД'!G195</f>
        <v>0</v>
      </c>
      <c r="H26" s="402"/>
      <c r="I26" s="402"/>
    </row>
    <row r="27" spans="1:9" ht="12.75" customHeight="1" hidden="1">
      <c r="A27" s="6"/>
      <c r="B27" s="29">
        <v>2220</v>
      </c>
      <c r="C27" s="30" t="s">
        <v>47</v>
      </c>
      <c r="D27" s="34">
        <f>'2019-3 СВОД'!D196</f>
        <v>0</v>
      </c>
      <c r="E27" s="34">
        <f>'2019-3 СВОД'!E196</f>
        <v>0</v>
      </c>
      <c r="F27" s="34">
        <f>'2019-3 СВОД'!F196</f>
        <v>0</v>
      </c>
      <c r="G27" s="34">
        <f>'2019-3 СВОД'!G196</f>
        <v>0</v>
      </c>
      <c r="H27" s="402"/>
      <c r="I27" s="402"/>
    </row>
    <row r="28" spans="1:9" ht="12.75" customHeight="1" hidden="1">
      <c r="A28" s="6"/>
      <c r="B28" s="29">
        <v>2230</v>
      </c>
      <c r="C28" s="30" t="s">
        <v>48</v>
      </c>
      <c r="D28" s="34">
        <f>'2019-3 СВОД'!D197</f>
        <v>0</v>
      </c>
      <c r="E28" s="34">
        <f>'2019-3 СВОД'!E197</f>
        <v>0</v>
      </c>
      <c r="F28" s="34">
        <f>'2019-3 СВОД'!F197</f>
        <v>0</v>
      </c>
      <c r="G28" s="34">
        <f>'2019-3 СВОД'!G197</f>
        <v>0</v>
      </c>
      <c r="H28" s="402"/>
      <c r="I28" s="402"/>
    </row>
    <row r="29" spans="1:9" ht="12.75" customHeight="1">
      <c r="A29" s="6"/>
      <c r="B29" s="29">
        <v>2240</v>
      </c>
      <c r="C29" s="30" t="s">
        <v>49</v>
      </c>
      <c r="D29" s="34">
        <f>'2019-3 СВОД'!D198</f>
        <v>35.65</v>
      </c>
      <c r="E29" s="34">
        <f>'2019-3 СВОД'!E198</f>
        <v>83.1</v>
      </c>
      <c r="F29" s="34">
        <f>'2019-3 СВОД'!F198</f>
        <v>79.9</v>
      </c>
      <c r="G29" s="34">
        <f>'2019-3 СВОД'!G198</f>
        <v>0</v>
      </c>
      <c r="H29" s="402"/>
      <c r="I29" s="402"/>
    </row>
    <row r="30" spans="1:9" ht="12.75" customHeight="1">
      <c r="A30" s="6"/>
      <c r="B30" s="29">
        <v>2250</v>
      </c>
      <c r="C30" s="30" t="s">
        <v>50</v>
      </c>
      <c r="D30" s="34">
        <f>'2019-3 СВОД'!D199</f>
        <v>0.3</v>
      </c>
      <c r="E30" s="34">
        <f>'2019-3 СВОД'!E199</f>
        <v>5.9</v>
      </c>
      <c r="F30" s="34">
        <f>'2019-3 СВОД'!F199</f>
        <v>3</v>
      </c>
      <c r="G30" s="34">
        <f>'2019-3 СВОД'!G199</f>
        <v>0</v>
      </c>
      <c r="H30" s="402"/>
      <c r="I30" s="402"/>
    </row>
    <row r="31" spans="1:9" ht="12.75" customHeight="1" hidden="1">
      <c r="A31" s="6"/>
      <c r="B31" s="29">
        <v>2260</v>
      </c>
      <c r="C31" s="30" t="s">
        <v>51</v>
      </c>
      <c r="D31" s="34">
        <f>'2019-3 СВОД'!D200</f>
        <v>0</v>
      </c>
      <c r="E31" s="34">
        <f>'2019-3 СВОД'!E200</f>
        <v>0</v>
      </c>
      <c r="F31" s="34">
        <f>'2019-3 СВОД'!F200</f>
        <v>0</v>
      </c>
      <c r="G31" s="34">
        <f>'2019-3 СВОД'!G200</f>
        <v>0</v>
      </c>
      <c r="H31" s="402"/>
      <c r="I31" s="402"/>
    </row>
    <row r="32" spans="1:9" ht="12.75" customHeight="1" hidden="1">
      <c r="A32" s="6"/>
      <c r="B32" s="27">
        <v>2270</v>
      </c>
      <c r="C32" s="28" t="s">
        <v>52</v>
      </c>
      <c r="D32" s="33">
        <f>D33+D34+D35+D36+D37+D38</f>
        <v>0</v>
      </c>
      <c r="E32" s="33">
        <f>E33+E34+E35+E36+E37+E38</f>
        <v>0</v>
      </c>
      <c r="F32" s="33">
        <f>F33+F34+F35+F36+F37+F38</f>
        <v>0</v>
      </c>
      <c r="G32" s="33">
        <f>G33+G34+G35+G36+G37+G38</f>
        <v>0</v>
      </c>
      <c r="H32" s="402"/>
      <c r="I32" s="402"/>
    </row>
    <row r="33" spans="1:9" ht="12.75" customHeight="1" hidden="1">
      <c r="A33" s="6"/>
      <c r="B33" s="29">
        <v>2271</v>
      </c>
      <c r="C33" s="30" t="s">
        <v>53</v>
      </c>
      <c r="D33" s="34">
        <f>'2019-3 СВОД'!D202</f>
        <v>0</v>
      </c>
      <c r="E33" s="34">
        <f>'2019-3 СВОД'!E202</f>
        <v>0</v>
      </c>
      <c r="F33" s="34">
        <f>'2019-3 СВОД'!F202</f>
        <v>0</v>
      </c>
      <c r="G33" s="34">
        <f>'2019-3 СВОД'!G202</f>
        <v>0</v>
      </c>
      <c r="H33" s="402"/>
      <c r="I33" s="402"/>
    </row>
    <row r="34" spans="1:9" ht="12.75" customHeight="1" hidden="1">
      <c r="A34" s="6"/>
      <c r="B34" s="29">
        <v>2272</v>
      </c>
      <c r="C34" s="30" t="s">
        <v>54</v>
      </c>
      <c r="D34" s="34">
        <f>'2019-3 СВОД'!D203</f>
        <v>0</v>
      </c>
      <c r="E34" s="34">
        <f>'2019-3 СВОД'!E203</f>
        <v>0</v>
      </c>
      <c r="F34" s="34">
        <f>'2019-3 СВОД'!F203</f>
        <v>0</v>
      </c>
      <c r="G34" s="34">
        <f>'2019-3 СВОД'!G203</f>
        <v>0</v>
      </c>
      <c r="H34" s="402"/>
      <c r="I34" s="402"/>
    </row>
    <row r="35" spans="1:9" ht="12.75" customHeight="1" hidden="1">
      <c r="A35" s="6"/>
      <c r="B35" s="29">
        <v>2273</v>
      </c>
      <c r="C35" s="30" t="s">
        <v>55</v>
      </c>
      <c r="D35" s="34">
        <f>'2019-3 СВОД'!D204</f>
        <v>0</v>
      </c>
      <c r="E35" s="34">
        <f>'2019-3 СВОД'!E204</f>
        <v>0</v>
      </c>
      <c r="F35" s="34">
        <f>'2019-3 СВОД'!F204</f>
        <v>0</v>
      </c>
      <c r="G35" s="34">
        <f>'2019-3 СВОД'!G204</f>
        <v>0</v>
      </c>
      <c r="H35" s="402"/>
      <c r="I35" s="402"/>
    </row>
    <row r="36" spans="1:9" ht="12.75" customHeight="1" hidden="1">
      <c r="A36" s="6"/>
      <c r="B36" s="29">
        <v>2274</v>
      </c>
      <c r="C36" s="30" t="s">
        <v>56</v>
      </c>
      <c r="D36" s="34">
        <f>'2019-3 СВОД'!D205</f>
        <v>0</v>
      </c>
      <c r="E36" s="34">
        <f>'2019-3 СВОД'!E205</f>
        <v>0</v>
      </c>
      <c r="F36" s="34">
        <f>'2019-3 СВОД'!F205</f>
        <v>0</v>
      </c>
      <c r="G36" s="34">
        <f>'2019-3 СВОД'!G205</f>
        <v>0</v>
      </c>
      <c r="H36" s="402"/>
      <c r="I36" s="402"/>
    </row>
    <row r="37" spans="1:9" ht="12.75" customHeight="1" hidden="1">
      <c r="A37" s="6"/>
      <c r="B37" s="29">
        <v>2275</v>
      </c>
      <c r="C37" s="30" t="s">
        <v>57</v>
      </c>
      <c r="D37" s="34">
        <f>'2019-3 СВОД'!D206</f>
        <v>0</v>
      </c>
      <c r="E37" s="34">
        <f>'2019-3 СВОД'!E206</f>
        <v>0</v>
      </c>
      <c r="F37" s="34">
        <f>'2019-3 СВОД'!F206</f>
        <v>0</v>
      </c>
      <c r="G37" s="34">
        <f>'2019-3 СВОД'!G206</f>
        <v>0</v>
      </c>
      <c r="H37" s="402"/>
      <c r="I37" s="402"/>
    </row>
    <row r="38" spans="1:9" ht="12.75" customHeight="1" hidden="1">
      <c r="A38" s="6"/>
      <c r="B38" s="31">
        <v>2276</v>
      </c>
      <c r="C38" s="32" t="s">
        <v>58</v>
      </c>
      <c r="D38" s="34">
        <f>'2019-3 СВОД'!D207</f>
        <v>0</v>
      </c>
      <c r="E38" s="34">
        <f>'2019-3 СВОД'!E207</f>
        <v>0</v>
      </c>
      <c r="F38" s="34">
        <f>'2019-3 СВОД'!F207</f>
        <v>0</v>
      </c>
      <c r="G38" s="34">
        <f>'2019-3 СВОД'!G207</f>
        <v>0</v>
      </c>
      <c r="H38" s="402"/>
      <c r="I38" s="402"/>
    </row>
    <row r="39" spans="1:9" ht="12.75" hidden="1">
      <c r="A39" s="6"/>
      <c r="B39" s="27">
        <v>2280</v>
      </c>
      <c r="C39" s="28" t="s">
        <v>59</v>
      </c>
      <c r="D39" s="33">
        <f>D40+D41</f>
        <v>0</v>
      </c>
      <c r="E39" s="33">
        <f>E40+E41</f>
        <v>0</v>
      </c>
      <c r="F39" s="33">
        <f>F40+F41</f>
        <v>0</v>
      </c>
      <c r="G39" s="33">
        <f>G40+G41</f>
        <v>0</v>
      </c>
      <c r="H39" s="402"/>
      <c r="I39" s="402"/>
    </row>
    <row r="40" spans="1:9" ht="12.75" hidden="1">
      <c r="A40" s="6"/>
      <c r="B40" s="29">
        <v>2281</v>
      </c>
      <c r="C40" s="30" t="s">
        <v>60</v>
      </c>
      <c r="D40" s="34">
        <f>'2019-3 СВОД'!D209</f>
        <v>0</v>
      </c>
      <c r="E40" s="34">
        <f>'2019-3 СВОД'!E209</f>
        <v>0</v>
      </c>
      <c r="F40" s="34">
        <f>'2019-3 СВОД'!F209</f>
        <v>0</v>
      </c>
      <c r="G40" s="34">
        <f>'2019-3 СВОД'!G209</f>
        <v>0</v>
      </c>
      <c r="H40" s="402"/>
      <c r="I40" s="402"/>
    </row>
    <row r="41" spans="1:9" ht="12.75" hidden="1">
      <c r="A41" s="6"/>
      <c r="B41" s="29">
        <v>2282</v>
      </c>
      <c r="C41" s="30" t="s">
        <v>61</v>
      </c>
      <c r="D41" s="34">
        <f>'2019-3 СВОД'!D210</f>
        <v>0</v>
      </c>
      <c r="E41" s="34">
        <f>'2019-3 СВОД'!E210</f>
        <v>0</v>
      </c>
      <c r="F41" s="34">
        <f>'2019-3 СВОД'!F210</f>
        <v>0</v>
      </c>
      <c r="G41" s="34">
        <f>'2019-3 СВОД'!G210</f>
        <v>0</v>
      </c>
      <c r="H41" s="402"/>
      <c r="I41" s="402"/>
    </row>
    <row r="42" spans="1:9" ht="12.75" customHeight="1" hidden="1">
      <c r="A42" s="6"/>
      <c r="B42" s="27">
        <v>2400</v>
      </c>
      <c r="C42" s="28" t="s">
        <v>62</v>
      </c>
      <c r="D42" s="34">
        <f>D43+D44</f>
        <v>0</v>
      </c>
      <c r="E42" s="34">
        <f>E43+E44</f>
        <v>0</v>
      </c>
      <c r="F42" s="34">
        <f>F43+F44</f>
        <v>0</v>
      </c>
      <c r="G42" s="34">
        <f>G43+G44</f>
        <v>0</v>
      </c>
      <c r="H42" s="402"/>
      <c r="I42" s="402"/>
    </row>
    <row r="43" spans="1:9" ht="12.75" customHeight="1" hidden="1">
      <c r="A43" s="6"/>
      <c r="B43" s="29">
        <v>2410</v>
      </c>
      <c r="C43" s="30" t="s">
        <v>63</v>
      </c>
      <c r="D43" s="34">
        <f>'2019-3 СВОД'!D212</f>
        <v>0</v>
      </c>
      <c r="E43" s="34">
        <f>'2019-3 СВОД'!E212</f>
        <v>0</v>
      </c>
      <c r="F43" s="34">
        <f>'2019-3 СВОД'!F212</f>
        <v>0</v>
      </c>
      <c r="G43" s="34">
        <f>'2019-3 СВОД'!G212</f>
        <v>0</v>
      </c>
      <c r="H43" s="402"/>
      <c r="I43" s="402"/>
    </row>
    <row r="44" spans="1:9" ht="12.75" customHeight="1" hidden="1">
      <c r="A44" s="6"/>
      <c r="B44" s="29">
        <v>2420</v>
      </c>
      <c r="C44" s="30" t="s">
        <v>64</v>
      </c>
      <c r="D44" s="34">
        <f>'2019-3 СВОД'!D213</f>
        <v>0</v>
      </c>
      <c r="E44" s="34">
        <f>'2019-3 СВОД'!E213</f>
        <v>0</v>
      </c>
      <c r="F44" s="34">
        <f>'2019-3 СВОД'!F213</f>
        <v>0</v>
      </c>
      <c r="G44" s="34">
        <f>'2019-3 СВОД'!G213</f>
        <v>0</v>
      </c>
      <c r="H44" s="402"/>
      <c r="I44" s="402"/>
    </row>
    <row r="45" spans="1:9" ht="12.75" customHeight="1" hidden="1">
      <c r="A45" s="6"/>
      <c r="B45" s="27">
        <v>2600</v>
      </c>
      <c r="C45" s="28" t="s">
        <v>65</v>
      </c>
      <c r="D45" s="33">
        <f>D46+D47+D48</f>
        <v>0</v>
      </c>
      <c r="E45" s="33">
        <f>E46+E47+E48</f>
        <v>0</v>
      </c>
      <c r="F45" s="33">
        <f>F46+F47+F48</f>
        <v>0</v>
      </c>
      <c r="G45" s="33">
        <f>G46+G47+G48</f>
        <v>0</v>
      </c>
      <c r="H45" s="402"/>
      <c r="I45" s="402"/>
    </row>
    <row r="46" spans="1:9" ht="12.75" hidden="1">
      <c r="A46" s="6"/>
      <c r="B46" s="29">
        <v>2610</v>
      </c>
      <c r="C46" s="30" t="s">
        <v>66</v>
      </c>
      <c r="D46" s="34">
        <f>'2019-3 СВОД'!D215</f>
        <v>0</v>
      </c>
      <c r="E46" s="34">
        <f>'2019-3 СВОД'!E215</f>
        <v>0</v>
      </c>
      <c r="F46" s="34">
        <f>'2019-3 СВОД'!F215</f>
        <v>0</v>
      </c>
      <c r="G46" s="34">
        <f>'2019-3 СВОД'!G215</f>
        <v>0</v>
      </c>
      <c r="H46" s="402"/>
      <c r="I46" s="402"/>
    </row>
    <row r="47" spans="1:9" ht="12.75" customHeight="1" hidden="1">
      <c r="A47" s="6"/>
      <c r="B47" s="29">
        <v>2620</v>
      </c>
      <c r="C47" s="30" t="s">
        <v>67</v>
      </c>
      <c r="D47" s="34">
        <f>'2019-3 СВОД'!D216</f>
        <v>0</v>
      </c>
      <c r="E47" s="34">
        <f>'2019-3 СВОД'!E216</f>
        <v>0</v>
      </c>
      <c r="F47" s="34">
        <f>'2019-3 СВОД'!F216</f>
        <v>0</v>
      </c>
      <c r="G47" s="34">
        <f>'2019-3 СВОД'!G216</f>
        <v>0</v>
      </c>
      <c r="H47" s="402"/>
      <c r="I47" s="402"/>
    </row>
    <row r="48" spans="1:9" ht="12.75" hidden="1">
      <c r="A48" s="6"/>
      <c r="B48" s="29">
        <v>2630</v>
      </c>
      <c r="C48" s="30" t="s">
        <v>68</v>
      </c>
      <c r="D48" s="34">
        <f>'2019-3 СВОД'!D217</f>
        <v>0</v>
      </c>
      <c r="E48" s="34">
        <f>'2019-3 СВОД'!E217</f>
        <v>0</v>
      </c>
      <c r="F48" s="34">
        <f>'2019-3 СВОД'!F217</f>
        <v>0</v>
      </c>
      <c r="G48" s="34">
        <f>'2019-3 СВОД'!G217</f>
        <v>0</v>
      </c>
      <c r="H48" s="402"/>
      <c r="I48" s="402"/>
    </row>
    <row r="49" spans="1:9" ht="12.75" customHeight="1" hidden="1">
      <c r="A49" s="6"/>
      <c r="B49" s="27">
        <v>2700</v>
      </c>
      <c r="C49" s="28" t="s">
        <v>69</v>
      </c>
      <c r="D49" s="33">
        <f>D50+D51+D52</f>
        <v>0</v>
      </c>
      <c r="E49" s="33">
        <f>E50+E51+E52</f>
        <v>0</v>
      </c>
      <c r="F49" s="33">
        <f>F50+F51+F52</f>
        <v>0</v>
      </c>
      <c r="G49" s="33">
        <f>G50+G51+G52</f>
        <v>0</v>
      </c>
      <c r="H49" s="402"/>
      <c r="I49" s="402"/>
    </row>
    <row r="50" spans="1:9" ht="12.75" customHeight="1" hidden="1">
      <c r="A50" s="6"/>
      <c r="B50" s="29">
        <v>2710</v>
      </c>
      <c r="C50" s="30" t="s">
        <v>70</v>
      </c>
      <c r="D50" s="34">
        <f>'2019-3 СВОД'!D219</f>
        <v>0</v>
      </c>
      <c r="E50" s="34">
        <f>'2019-3 СВОД'!E219</f>
        <v>0</v>
      </c>
      <c r="F50" s="34">
        <f>'2019-3 СВОД'!F219</f>
        <v>0</v>
      </c>
      <c r="G50" s="34">
        <f>'2019-3 СВОД'!G219</f>
        <v>0</v>
      </c>
      <c r="H50" s="402"/>
      <c r="I50" s="402"/>
    </row>
    <row r="51" spans="1:9" ht="12.75" customHeight="1" hidden="1">
      <c r="A51" s="6"/>
      <c r="B51" s="29">
        <v>2720</v>
      </c>
      <c r="C51" s="30" t="s">
        <v>71</v>
      </c>
      <c r="D51" s="34">
        <f>'2019-3 СВОД'!D220</f>
        <v>0</v>
      </c>
      <c r="E51" s="34">
        <f>'2019-3 СВОД'!E220</f>
        <v>0</v>
      </c>
      <c r="F51" s="34">
        <f>'2019-3 СВОД'!F220</f>
        <v>0</v>
      </c>
      <c r="G51" s="34">
        <f>'2019-3 СВОД'!G220</f>
        <v>0</v>
      </c>
      <c r="H51" s="402"/>
      <c r="I51" s="402"/>
    </row>
    <row r="52" spans="1:9" ht="12.75" customHeight="1" hidden="1">
      <c r="A52" s="6"/>
      <c r="B52" s="29">
        <v>2730</v>
      </c>
      <c r="C52" s="30" t="s">
        <v>72</v>
      </c>
      <c r="D52" s="34">
        <f>'2019-3 СВОД'!D221</f>
        <v>0</v>
      </c>
      <c r="E52" s="34">
        <f>'2019-3 СВОД'!E221</f>
        <v>0</v>
      </c>
      <c r="F52" s="34">
        <f>'2019-3 СВОД'!F221</f>
        <v>0</v>
      </c>
      <c r="G52" s="34">
        <f>'2019-3 СВОД'!G221</f>
        <v>0</v>
      </c>
      <c r="H52" s="402"/>
      <c r="I52" s="402"/>
    </row>
    <row r="53" spans="1:9" ht="12.75" customHeight="1" hidden="1">
      <c r="A53" s="6"/>
      <c r="B53" s="27">
        <v>2800</v>
      </c>
      <c r="C53" s="28" t="s">
        <v>73</v>
      </c>
      <c r="D53" s="34">
        <f>'2019-3 СВОД'!D222</f>
        <v>0</v>
      </c>
      <c r="E53" s="34">
        <f>'2019-3 СВОД'!E222</f>
        <v>0</v>
      </c>
      <c r="F53" s="34">
        <f>'2019-3 СВОД'!F222</f>
        <v>0</v>
      </c>
      <c r="G53" s="34">
        <f>'2019-3 СВОД'!G222</f>
        <v>0</v>
      </c>
      <c r="H53" s="402"/>
      <c r="I53" s="402"/>
    </row>
    <row r="54" spans="1:9" ht="12.75" hidden="1">
      <c r="A54" s="21"/>
      <c r="B54" s="27">
        <v>3000</v>
      </c>
      <c r="C54" s="28" t="s">
        <v>40</v>
      </c>
      <c r="D54" s="40">
        <f>D55+D69</f>
        <v>0</v>
      </c>
      <c r="E54" s="40">
        <f>E55+E69</f>
        <v>0</v>
      </c>
      <c r="F54" s="40">
        <f>F55+F69</f>
        <v>0</v>
      </c>
      <c r="G54" s="40">
        <f>G55+G69</f>
        <v>0</v>
      </c>
      <c r="H54" s="402"/>
      <c r="I54" s="402"/>
    </row>
    <row r="55" spans="1:9" ht="12.75" hidden="1">
      <c r="A55" s="21"/>
      <c r="B55" s="27">
        <v>3100</v>
      </c>
      <c r="C55" s="28" t="s">
        <v>41</v>
      </c>
      <c r="D55" s="40">
        <f>D56+D57+D60+D63+D67+D68+D69</f>
        <v>0</v>
      </c>
      <c r="E55" s="40">
        <f>E56+E57+E60+E63+E67+E68+E69</f>
        <v>0</v>
      </c>
      <c r="F55" s="40">
        <f>F56+F57+F60+F63+F67+F68+F69</f>
        <v>0</v>
      </c>
      <c r="G55" s="40">
        <f>G56+G57+G60+G63+G67+G68+G69</f>
        <v>0</v>
      </c>
      <c r="H55" s="402"/>
      <c r="I55" s="402"/>
    </row>
    <row r="56" spans="1:9" ht="12.75" hidden="1">
      <c r="A56" s="21"/>
      <c r="B56" s="29">
        <v>3110</v>
      </c>
      <c r="C56" s="30" t="s">
        <v>74</v>
      </c>
      <c r="D56" s="34">
        <f>'2019-3 СВОД'!D225</f>
        <v>0</v>
      </c>
      <c r="E56" s="34">
        <f>'2019-3 СВОД'!E225</f>
        <v>0</v>
      </c>
      <c r="F56" s="34">
        <f>'2019-3 СВОД'!F225</f>
        <v>0</v>
      </c>
      <c r="G56" s="34">
        <f>'2019-3 СВОД'!G225</f>
        <v>0</v>
      </c>
      <c r="H56" s="402"/>
      <c r="I56" s="402"/>
    </row>
    <row r="57" spans="1:9" ht="12.75" hidden="1">
      <c r="A57" s="21"/>
      <c r="B57" s="29">
        <v>3120</v>
      </c>
      <c r="C57" s="30" t="s">
        <v>75</v>
      </c>
      <c r="D57" s="40">
        <f>D58+D59</f>
        <v>0</v>
      </c>
      <c r="E57" s="40">
        <f>E58+E59</f>
        <v>0</v>
      </c>
      <c r="F57" s="40">
        <f>F58+F59</f>
        <v>0</v>
      </c>
      <c r="G57" s="40">
        <f>G58+G59</f>
        <v>0</v>
      </c>
      <c r="H57" s="402"/>
      <c r="I57" s="402"/>
    </row>
    <row r="58" spans="1:9" ht="12.75" hidden="1">
      <c r="A58" s="21"/>
      <c r="B58" s="29">
        <v>3121</v>
      </c>
      <c r="C58" s="30" t="s">
        <v>76</v>
      </c>
      <c r="D58" s="34">
        <f>'2019-3 СВОД'!D227</f>
        <v>0</v>
      </c>
      <c r="E58" s="34">
        <f>'2019-3 СВОД'!E227</f>
        <v>0</v>
      </c>
      <c r="F58" s="34">
        <f>'2019-3 СВОД'!F227</f>
        <v>0</v>
      </c>
      <c r="G58" s="34">
        <f>'2019-3 СВОД'!G227</f>
        <v>0</v>
      </c>
      <c r="H58" s="402"/>
      <c r="I58" s="402"/>
    </row>
    <row r="59" spans="1:9" ht="12.75" hidden="1">
      <c r="A59" s="21"/>
      <c r="B59" s="29">
        <v>3122</v>
      </c>
      <c r="C59" s="30" t="s">
        <v>77</v>
      </c>
      <c r="D59" s="34">
        <f>'2019-3 СВОД'!D228</f>
        <v>0</v>
      </c>
      <c r="E59" s="34">
        <f>'2019-3 СВОД'!E228</f>
        <v>0</v>
      </c>
      <c r="F59" s="34">
        <f>'2019-3 СВОД'!F228</f>
        <v>0</v>
      </c>
      <c r="G59" s="34">
        <f>'2019-3 СВОД'!G228</f>
        <v>0</v>
      </c>
      <c r="H59" s="402"/>
      <c r="I59" s="402"/>
    </row>
    <row r="60" spans="1:9" ht="12.75" hidden="1">
      <c r="A60" s="21"/>
      <c r="B60" s="29">
        <v>3130</v>
      </c>
      <c r="C60" s="30" t="s">
        <v>78</v>
      </c>
      <c r="D60" s="40">
        <f>D61+D62</f>
        <v>0</v>
      </c>
      <c r="E60" s="40">
        <f>E61+E62</f>
        <v>0</v>
      </c>
      <c r="F60" s="40">
        <f>F61+F62</f>
        <v>0</v>
      </c>
      <c r="G60" s="40">
        <f>G61+G62</f>
        <v>0</v>
      </c>
      <c r="H60" s="402"/>
      <c r="I60" s="402"/>
    </row>
    <row r="61" spans="1:9" ht="12.75" hidden="1">
      <c r="A61" s="21"/>
      <c r="B61" s="29">
        <v>3131</v>
      </c>
      <c r="C61" s="30" t="s">
        <v>79</v>
      </c>
      <c r="D61" s="34">
        <f>'2019-3 СВОД'!D230</f>
        <v>0</v>
      </c>
      <c r="E61" s="34">
        <f>'2019-3 СВОД'!E230</f>
        <v>0</v>
      </c>
      <c r="F61" s="34">
        <f>'2019-3 СВОД'!F230</f>
        <v>0</v>
      </c>
      <c r="G61" s="34">
        <f>'2019-3 СВОД'!G230</f>
        <v>0</v>
      </c>
      <c r="H61" s="402"/>
      <c r="I61" s="402"/>
    </row>
    <row r="62" spans="1:9" ht="12.75" hidden="1">
      <c r="A62" s="21"/>
      <c r="B62" s="29">
        <v>3132</v>
      </c>
      <c r="C62" s="30" t="s">
        <v>80</v>
      </c>
      <c r="D62" s="34">
        <f>'2019-3 СВОД'!D231</f>
        <v>0</v>
      </c>
      <c r="E62" s="34">
        <f>'2019-3 СВОД'!E231</f>
        <v>0</v>
      </c>
      <c r="F62" s="34">
        <f>'2019-3 СВОД'!F231</f>
        <v>0</v>
      </c>
      <c r="G62" s="34">
        <f>'2019-3 СВОД'!G231</f>
        <v>0</v>
      </c>
      <c r="H62" s="402"/>
      <c r="I62" s="402"/>
    </row>
    <row r="63" spans="1:9" ht="12.75" hidden="1">
      <c r="A63" s="21"/>
      <c r="B63" s="29">
        <v>3140</v>
      </c>
      <c r="C63" s="30" t="s">
        <v>81</v>
      </c>
      <c r="D63" s="40">
        <f>D64+D65+D66</f>
        <v>0</v>
      </c>
      <c r="E63" s="40">
        <f>E64+E65+E66</f>
        <v>0</v>
      </c>
      <c r="F63" s="40">
        <f>F64+F65+F66</f>
        <v>0</v>
      </c>
      <c r="G63" s="40">
        <f>G64+G65+G66</f>
        <v>0</v>
      </c>
      <c r="H63" s="402"/>
      <c r="I63" s="402"/>
    </row>
    <row r="64" spans="1:9" ht="12.75" hidden="1">
      <c r="A64" s="21"/>
      <c r="B64" s="29">
        <v>3141</v>
      </c>
      <c r="C64" s="30" t="s">
        <v>82</v>
      </c>
      <c r="D64" s="34">
        <f>'2019-3 СВОД'!D233</f>
        <v>0</v>
      </c>
      <c r="E64" s="34">
        <f>'2019-3 СВОД'!E233</f>
        <v>0</v>
      </c>
      <c r="F64" s="34">
        <f>'2019-3 СВОД'!F233</f>
        <v>0</v>
      </c>
      <c r="G64" s="34">
        <f>'2019-3 СВОД'!G233</f>
        <v>0</v>
      </c>
      <c r="H64" s="402"/>
      <c r="I64" s="402"/>
    </row>
    <row r="65" spans="1:9" ht="12.75" hidden="1">
      <c r="A65" s="21"/>
      <c r="B65" s="29">
        <v>3142</v>
      </c>
      <c r="C65" s="30" t="s">
        <v>83</v>
      </c>
      <c r="D65" s="34">
        <f>'2019-3 СВОД'!D234</f>
        <v>0</v>
      </c>
      <c r="E65" s="34">
        <f>'2019-3 СВОД'!E234</f>
        <v>0</v>
      </c>
      <c r="F65" s="34">
        <f>'2019-3 СВОД'!F234</f>
        <v>0</v>
      </c>
      <c r="G65" s="34">
        <f>'2019-3 СВОД'!G234</f>
        <v>0</v>
      </c>
      <c r="H65" s="402"/>
      <c r="I65" s="402"/>
    </row>
    <row r="66" spans="1:9" ht="12.75" hidden="1">
      <c r="A66" s="21"/>
      <c r="B66" s="29">
        <v>3143</v>
      </c>
      <c r="C66" s="30" t="s">
        <v>84</v>
      </c>
      <c r="D66" s="34">
        <f>'2019-3 СВОД'!D235</f>
        <v>0</v>
      </c>
      <c r="E66" s="34">
        <f>'2019-3 СВОД'!E235</f>
        <v>0</v>
      </c>
      <c r="F66" s="34">
        <f>'2019-3 СВОД'!F235</f>
        <v>0</v>
      </c>
      <c r="G66" s="34">
        <f>'2019-3 СВОД'!G235</f>
        <v>0</v>
      </c>
      <c r="H66" s="402"/>
      <c r="I66" s="402"/>
    </row>
    <row r="67" spans="1:9" ht="12.75" hidden="1">
      <c r="A67" s="21"/>
      <c r="B67" s="29">
        <v>3150</v>
      </c>
      <c r="C67" s="30" t="s">
        <v>85</v>
      </c>
      <c r="D67" s="34">
        <f>'2019-3 СВОД'!D236</f>
        <v>0</v>
      </c>
      <c r="E67" s="34">
        <f>'2019-3 СВОД'!E236</f>
        <v>0</v>
      </c>
      <c r="F67" s="34">
        <f>'2019-3 СВОД'!F236</f>
        <v>0</v>
      </c>
      <c r="G67" s="34">
        <f>'2019-3 СВОД'!G236</f>
        <v>0</v>
      </c>
      <c r="H67" s="402"/>
      <c r="I67" s="402"/>
    </row>
    <row r="68" spans="1:9" ht="12.75" hidden="1">
      <c r="A68" s="21"/>
      <c r="B68" s="29">
        <v>3160</v>
      </c>
      <c r="C68" s="30" t="s">
        <v>86</v>
      </c>
      <c r="D68" s="34">
        <f>'2019-3 СВОД'!D237</f>
        <v>0</v>
      </c>
      <c r="E68" s="34">
        <f>'2019-3 СВОД'!E237</f>
        <v>0</v>
      </c>
      <c r="F68" s="34">
        <f>'2019-3 СВОД'!F237</f>
        <v>0</v>
      </c>
      <c r="G68" s="34">
        <f>'2019-3 СВОД'!G237</f>
        <v>0</v>
      </c>
      <c r="H68" s="402"/>
      <c r="I68" s="402"/>
    </row>
    <row r="69" spans="1:9" ht="12.75" hidden="1">
      <c r="A69" s="21"/>
      <c r="B69" s="27">
        <v>3200</v>
      </c>
      <c r="C69" s="28" t="s">
        <v>87</v>
      </c>
      <c r="D69" s="40">
        <f>D70+D71+D72+D73</f>
        <v>0</v>
      </c>
      <c r="E69" s="40">
        <f>E70+E71+E72+E73</f>
        <v>0</v>
      </c>
      <c r="F69" s="40">
        <f>F70+F71+F72+F73</f>
        <v>0</v>
      </c>
      <c r="G69" s="40">
        <f>G70+G71+G72+G73</f>
        <v>0</v>
      </c>
      <c r="H69" s="402"/>
      <c r="I69" s="402"/>
    </row>
    <row r="70" spans="1:9" ht="12.75" hidden="1">
      <c r="A70" s="21"/>
      <c r="B70" s="29">
        <v>3210</v>
      </c>
      <c r="C70" s="30" t="s">
        <v>88</v>
      </c>
      <c r="D70" s="34">
        <f>'2019-3 СВОД'!D239</f>
        <v>0</v>
      </c>
      <c r="E70" s="34">
        <f>'2019-3 СВОД'!E239</f>
        <v>0</v>
      </c>
      <c r="F70" s="34">
        <f>'2019-3 СВОД'!F239</f>
        <v>0</v>
      </c>
      <c r="G70" s="34">
        <f>'2019-3 СВОД'!G239</f>
        <v>0</v>
      </c>
      <c r="H70" s="402"/>
      <c r="I70" s="402"/>
    </row>
    <row r="71" spans="1:9" ht="12.75" hidden="1">
      <c r="A71" s="21"/>
      <c r="B71" s="29">
        <v>3220</v>
      </c>
      <c r="C71" s="30" t="s">
        <v>89</v>
      </c>
      <c r="D71" s="34">
        <f>'2019-3 СВОД'!D240</f>
        <v>0</v>
      </c>
      <c r="E71" s="34">
        <f>'2019-3 СВОД'!E240</f>
        <v>0</v>
      </c>
      <c r="F71" s="34">
        <f>'2019-3 СВОД'!F240</f>
        <v>0</v>
      </c>
      <c r="G71" s="34">
        <f>'2019-3 СВОД'!G240</f>
        <v>0</v>
      </c>
      <c r="H71" s="402"/>
      <c r="I71" s="402"/>
    </row>
    <row r="72" spans="1:9" ht="12.75" hidden="1">
      <c r="A72" s="21"/>
      <c r="B72" s="29">
        <v>3230</v>
      </c>
      <c r="C72" s="30" t="s">
        <v>90</v>
      </c>
      <c r="D72" s="34">
        <f>'2019-3 СВОД'!D241</f>
        <v>0</v>
      </c>
      <c r="E72" s="34">
        <f>'2019-3 СВОД'!E241</f>
        <v>0</v>
      </c>
      <c r="F72" s="34">
        <f>'2019-3 СВОД'!F241</f>
        <v>0</v>
      </c>
      <c r="G72" s="34">
        <f>'2019-3 СВОД'!G241</f>
        <v>0</v>
      </c>
      <c r="H72" s="402"/>
      <c r="I72" s="402"/>
    </row>
    <row r="73" spans="1:9" ht="13.5" customHeight="1" hidden="1">
      <c r="A73" s="21"/>
      <c r="B73" s="29">
        <v>3240</v>
      </c>
      <c r="C73" s="30" t="s">
        <v>91</v>
      </c>
      <c r="D73" s="34">
        <f>'2019-3 СВОД'!D242</f>
        <v>0</v>
      </c>
      <c r="E73" s="34">
        <f>'2019-3 СВОД'!E242</f>
        <v>0</v>
      </c>
      <c r="F73" s="34">
        <f>'2019-3 СВОД'!F242</f>
        <v>0</v>
      </c>
      <c r="G73" s="34">
        <f>'2019-3 СВОД'!G242</f>
        <v>0</v>
      </c>
      <c r="H73" s="402"/>
      <c r="I73" s="402"/>
    </row>
    <row r="74" spans="1:9" s="19" customFormat="1" ht="13.5" customHeight="1">
      <c r="A74" s="7"/>
      <c r="B74" s="7"/>
      <c r="C74" s="20" t="s">
        <v>3</v>
      </c>
      <c r="D74" s="34">
        <f>D19+D54</f>
        <v>54.28999999999999</v>
      </c>
      <c r="E74" s="34">
        <f>E19+E54</f>
        <v>162</v>
      </c>
      <c r="F74" s="34">
        <f>F19+F54</f>
        <v>147.2</v>
      </c>
      <c r="G74" s="34">
        <f>G19+G54</f>
        <v>0</v>
      </c>
      <c r="H74" s="402"/>
      <c r="I74" s="402"/>
    </row>
    <row r="75" spans="1:9" s="156" customFormat="1" ht="13.5" customHeight="1">
      <c r="A75" s="154"/>
      <c r="B75" s="154">
        <f>'2019-3 СВОД'!B244</f>
        <v>1113123</v>
      </c>
      <c r="C75" s="154" t="str">
        <f>'2019-3 СВОД'!C244</f>
        <v>Підпрограма Заходи державнох політики з питань сім'ї</v>
      </c>
      <c r="D75" s="170">
        <f>D76+D111</f>
        <v>351.22999999999996</v>
      </c>
      <c r="E75" s="170">
        <f>E76+E111</f>
        <v>258.19</v>
      </c>
      <c r="F75" s="170">
        <f>F76+F111</f>
        <v>200</v>
      </c>
      <c r="G75" s="170">
        <f>G76+G111</f>
        <v>0</v>
      </c>
      <c r="H75" s="464"/>
      <c r="I75" s="465"/>
    </row>
    <row r="76" spans="1:9" ht="12.75">
      <c r="A76" s="6"/>
      <c r="B76" s="27">
        <v>2000</v>
      </c>
      <c r="C76" s="28" t="s">
        <v>37</v>
      </c>
      <c r="D76" s="33">
        <f>D77+D82+D99+D102+D106+D110</f>
        <v>351.22999999999996</v>
      </c>
      <c r="E76" s="33">
        <f>E77+E82+E99+E102+E106+E110</f>
        <v>258.19</v>
      </c>
      <c r="F76" s="33">
        <f>F77+F82+F99+F102+F106+F110</f>
        <v>200</v>
      </c>
      <c r="G76" s="33">
        <f>G77+G82+G99+G102+G106+G110</f>
        <v>0</v>
      </c>
      <c r="H76" s="402"/>
      <c r="I76" s="402"/>
    </row>
    <row r="77" spans="1:9" ht="12.75" customHeight="1" hidden="1">
      <c r="A77" s="6"/>
      <c r="B77" s="29">
        <v>2100</v>
      </c>
      <c r="C77" s="30" t="s">
        <v>38</v>
      </c>
      <c r="D77" s="35">
        <f>D78+D81</f>
        <v>0</v>
      </c>
      <c r="E77" s="35">
        <f>E78+E81</f>
        <v>0</v>
      </c>
      <c r="F77" s="35">
        <f>F78+F81</f>
        <v>0</v>
      </c>
      <c r="G77" s="35">
        <f>G78+G81</f>
        <v>0</v>
      </c>
      <c r="H77" s="402"/>
      <c r="I77" s="402"/>
    </row>
    <row r="78" spans="1:9" ht="12.75" customHeight="1" hidden="1">
      <c r="A78" s="6"/>
      <c r="B78" s="29">
        <v>2110</v>
      </c>
      <c r="C78" s="30" t="s">
        <v>39</v>
      </c>
      <c r="D78" s="35">
        <f>D79+D80</f>
        <v>0</v>
      </c>
      <c r="E78" s="35">
        <f>E79+E80</f>
        <v>0</v>
      </c>
      <c r="F78" s="35">
        <f>F79+F80</f>
        <v>0</v>
      </c>
      <c r="G78" s="35">
        <f>G79+G80</f>
        <v>0</v>
      </c>
      <c r="H78" s="402"/>
      <c r="I78" s="402"/>
    </row>
    <row r="79" spans="1:9" ht="12.75" customHeight="1" hidden="1">
      <c r="A79" s="6"/>
      <c r="B79" s="29">
        <v>2111</v>
      </c>
      <c r="C79" s="30" t="s">
        <v>42</v>
      </c>
      <c r="D79" s="34">
        <f>'2019-3 СВОД'!D248</f>
        <v>0</v>
      </c>
      <c r="E79" s="34">
        <f>'2019-3 СВОД'!E248</f>
        <v>0</v>
      </c>
      <c r="F79" s="34">
        <f>'2019-3 СВОД'!F248</f>
        <v>0</v>
      </c>
      <c r="G79" s="34">
        <f>'2019-3 СВОД'!G248</f>
        <v>0</v>
      </c>
      <c r="H79" s="402"/>
      <c r="I79" s="402"/>
    </row>
    <row r="80" spans="1:9" ht="12.75" customHeight="1" hidden="1">
      <c r="A80" s="6"/>
      <c r="B80" s="29">
        <v>2112</v>
      </c>
      <c r="C80" s="30" t="s">
        <v>43</v>
      </c>
      <c r="D80" s="34">
        <f>'2019-3 СВОД'!D249</f>
        <v>0</v>
      </c>
      <c r="E80" s="34">
        <f>'2019-3 СВОД'!E249</f>
        <v>0</v>
      </c>
      <c r="F80" s="34">
        <f>'2019-3 СВОД'!F249</f>
        <v>0</v>
      </c>
      <c r="G80" s="34">
        <f>'2019-3 СВОД'!G249</f>
        <v>0</v>
      </c>
      <c r="H80" s="402"/>
      <c r="I80" s="402"/>
    </row>
    <row r="81" spans="1:9" ht="12.75" customHeight="1" hidden="1">
      <c r="A81" s="6"/>
      <c r="B81" s="29">
        <v>2120</v>
      </c>
      <c r="C81" s="30" t="s">
        <v>44</v>
      </c>
      <c r="D81" s="34">
        <f>'2019-3 СВОД'!D250</f>
        <v>0</v>
      </c>
      <c r="E81" s="34">
        <f>'2019-3 СВОД'!E250</f>
        <v>0</v>
      </c>
      <c r="F81" s="34">
        <f>'2019-3 СВОД'!F250</f>
        <v>0</v>
      </c>
      <c r="G81" s="34">
        <f>'2019-3 СВОД'!G250</f>
        <v>0</v>
      </c>
      <c r="H81" s="402"/>
      <c r="I81" s="402"/>
    </row>
    <row r="82" spans="1:9" ht="12.75" customHeight="1">
      <c r="A82" s="6"/>
      <c r="B82" s="27">
        <v>2200</v>
      </c>
      <c r="C82" s="28" t="s">
        <v>45</v>
      </c>
      <c r="D82" s="33">
        <f>SUM(D83:D89)+D96</f>
        <v>351.22999999999996</v>
      </c>
      <c r="E82" s="33">
        <f>SUM(E83:E89)+E96</f>
        <v>258.19</v>
      </c>
      <c r="F82" s="33">
        <f>SUM(F83:F89)+F96</f>
        <v>200</v>
      </c>
      <c r="G82" s="33">
        <f>SUM(G83:G89)+G96</f>
        <v>0</v>
      </c>
      <c r="H82" s="402"/>
      <c r="I82" s="402"/>
    </row>
    <row r="83" spans="1:9" ht="12.75">
      <c r="A83" s="6"/>
      <c r="B83" s="29">
        <v>2210</v>
      </c>
      <c r="C83" s="30" t="s">
        <v>46</v>
      </c>
      <c r="D83" s="34">
        <f>'2019-3 СВОД'!D252</f>
        <v>267.67</v>
      </c>
      <c r="E83" s="34">
        <f>'2019-3 СВОД'!E252</f>
        <v>163.89</v>
      </c>
      <c r="F83" s="34">
        <f>'2019-3 СВОД'!F252</f>
        <v>98.3</v>
      </c>
      <c r="G83" s="34">
        <f>'2019-3 СВОД'!G252</f>
        <v>0</v>
      </c>
      <c r="H83" s="402"/>
      <c r="I83" s="402"/>
    </row>
    <row r="84" spans="1:9" ht="12.75" customHeight="1" hidden="1">
      <c r="A84" s="6"/>
      <c r="B84" s="29">
        <v>2220</v>
      </c>
      <c r="C84" s="30" t="s">
        <v>47</v>
      </c>
      <c r="D84" s="34">
        <f>'2019-3 СВОД'!D253</f>
        <v>0</v>
      </c>
      <c r="E84" s="34">
        <f>'2019-3 СВОД'!E253</f>
        <v>0</v>
      </c>
      <c r="F84" s="34">
        <f>'2019-3 СВОД'!F253</f>
        <v>0</v>
      </c>
      <c r="G84" s="34">
        <f>'2019-3 СВОД'!G253</f>
        <v>0</v>
      </c>
      <c r="H84" s="402"/>
      <c r="I84" s="402"/>
    </row>
    <row r="85" spans="1:9" ht="12.75" customHeight="1" hidden="1">
      <c r="A85" s="6"/>
      <c r="B85" s="29">
        <v>2230</v>
      </c>
      <c r="C85" s="30" t="s">
        <v>48</v>
      </c>
      <c r="D85" s="34">
        <f>'2019-3 СВОД'!D254</f>
        <v>0</v>
      </c>
      <c r="E85" s="34">
        <f>'2019-3 СВОД'!E254</f>
        <v>0</v>
      </c>
      <c r="F85" s="34">
        <f>'2019-3 СВОД'!F254</f>
        <v>0</v>
      </c>
      <c r="G85" s="34">
        <f>'2019-3 СВОД'!G254</f>
        <v>0</v>
      </c>
      <c r="H85" s="402"/>
      <c r="I85" s="402"/>
    </row>
    <row r="86" spans="1:9" ht="12.75" customHeight="1">
      <c r="A86" s="6"/>
      <c r="B86" s="29">
        <v>2240</v>
      </c>
      <c r="C86" s="30" t="s">
        <v>49</v>
      </c>
      <c r="D86" s="34">
        <f>'2019-3 СВОД'!D255</f>
        <v>82.35</v>
      </c>
      <c r="E86" s="34">
        <f>'2019-3 СВОД'!E255</f>
        <v>87.2</v>
      </c>
      <c r="F86" s="34">
        <f>'2019-3 СВОД'!F255</f>
        <v>94.2</v>
      </c>
      <c r="G86" s="34">
        <f>'2019-3 СВОД'!G255</f>
        <v>0</v>
      </c>
      <c r="H86" s="402"/>
      <c r="I86" s="402"/>
    </row>
    <row r="87" spans="1:9" ht="12.75" customHeight="1">
      <c r="A87" s="6"/>
      <c r="B87" s="29">
        <v>2250</v>
      </c>
      <c r="C87" s="30" t="s">
        <v>50</v>
      </c>
      <c r="D87" s="34">
        <f>'2019-3 СВОД'!D256</f>
        <v>1.21</v>
      </c>
      <c r="E87" s="34">
        <f>'2019-3 СВОД'!E256</f>
        <v>7.1</v>
      </c>
      <c r="F87" s="34">
        <f>'2019-3 СВОД'!F256</f>
        <v>7.5</v>
      </c>
      <c r="G87" s="34">
        <f>'2019-3 СВОД'!G256</f>
        <v>0</v>
      </c>
      <c r="H87" s="402"/>
      <c r="I87" s="402"/>
    </row>
    <row r="88" spans="1:9" ht="12.75" customHeight="1" hidden="1">
      <c r="A88" s="6"/>
      <c r="B88" s="29">
        <v>2260</v>
      </c>
      <c r="C88" s="30" t="s">
        <v>51</v>
      </c>
      <c r="D88" s="34">
        <f>'2019-3 СВОД'!D257</f>
        <v>0</v>
      </c>
      <c r="E88" s="34">
        <f>'2019-3 СВОД'!E257</f>
        <v>0</v>
      </c>
      <c r="F88" s="34">
        <f>'2019-3 СВОД'!F257</f>
        <v>0</v>
      </c>
      <c r="G88" s="34">
        <f>'2019-3 СВОД'!G257</f>
        <v>0</v>
      </c>
      <c r="H88" s="402"/>
      <c r="I88" s="402"/>
    </row>
    <row r="89" spans="1:9" ht="12.75" customHeight="1" hidden="1">
      <c r="A89" s="6"/>
      <c r="B89" s="27">
        <v>2270</v>
      </c>
      <c r="C89" s="28" t="s">
        <v>52</v>
      </c>
      <c r="D89" s="33">
        <f>D90+D91+D92+D93+D94+D95</f>
        <v>0</v>
      </c>
      <c r="E89" s="33">
        <f>E90+E91+E92+E93+E94+E95</f>
        <v>0</v>
      </c>
      <c r="F89" s="33">
        <f>F90+F91+F92+F93+F94+F95</f>
        <v>0</v>
      </c>
      <c r="G89" s="33">
        <f>G90+G91+G92+G93+G94+G95</f>
        <v>0</v>
      </c>
      <c r="H89" s="402"/>
      <c r="I89" s="402"/>
    </row>
    <row r="90" spans="1:9" ht="12.75" customHeight="1" hidden="1">
      <c r="A90" s="6"/>
      <c r="B90" s="29">
        <v>2271</v>
      </c>
      <c r="C90" s="30" t="s">
        <v>53</v>
      </c>
      <c r="D90" s="34">
        <f>'2019-3 СВОД'!D259</f>
        <v>0</v>
      </c>
      <c r="E90" s="34">
        <f>'2019-3 СВОД'!E259</f>
        <v>0</v>
      </c>
      <c r="F90" s="34">
        <f>'2019-3 СВОД'!F259</f>
        <v>0</v>
      </c>
      <c r="G90" s="34">
        <f>'2019-3 СВОД'!G259</f>
        <v>0</v>
      </c>
      <c r="H90" s="402"/>
      <c r="I90" s="402"/>
    </row>
    <row r="91" spans="1:9" ht="12.75" customHeight="1" hidden="1">
      <c r="A91" s="6"/>
      <c r="B91" s="29">
        <v>2272</v>
      </c>
      <c r="C91" s="30" t="s">
        <v>54</v>
      </c>
      <c r="D91" s="34">
        <f>'2019-3 СВОД'!D260</f>
        <v>0</v>
      </c>
      <c r="E91" s="34">
        <f>'2019-3 СВОД'!E260</f>
        <v>0</v>
      </c>
      <c r="F91" s="34">
        <f>'2019-3 СВОД'!F260</f>
        <v>0</v>
      </c>
      <c r="G91" s="34">
        <f>'2019-3 СВОД'!G260</f>
        <v>0</v>
      </c>
      <c r="H91" s="402"/>
      <c r="I91" s="402"/>
    </row>
    <row r="92" spans="1:9" ht="12.75" customHeight="1" hidden="1">
      <c r="A92" s="6"/>
      <c r="B92" s="29">
        <v>2273</v>
      </c>
      <c r="C92" s="30" t="s">
        <v>55</v>
      </c>
      <c r="D92" s="34">
        <f>'2019-3 СВОД'!D261</f>
        <v>0</v>
      </c>
      <c r="E92" s="34">
        <f>'2019-3 СВОД'!E261</f>
        <v>0</v>
      </c>
      <c r="F92" s="34">
        <f>'2019-3 СВОД'!F261</f>
        <v>0</v>
      </c>
      <c r="G92" s="34">
        <f>'2019-3 СВОД'!G261</f>
        <v>0</v>
      </c>
      <c r="H92" s="402"/>
      <c r="I92" s="402"/>
    </row>
    <row r="93" spans="1:9" ht="12.75" customHeight="1" hidden="1">
      <c r="A93" s="6"/>
      <c r="B93" s="29">
        <v>2274</v>
      </c>
      <c r="C93" s="30" t="s">
        <v>56</v>
      </c>
      <c r="D93" s="34">
        <f>'2019-3 СВОД'!D262</f>
        <v>0</v>
      </c>
      <c r="E93" s="34">
        <f>'2019-3 СВОД'!E262</f>
        <v>0</v>
      </c>
      <c r="F93" s="34">
        <f>'2019-3 СВОД'!F262</f>
        <v>0</v>
      </c>
      <c r="G93" s="34">
        <f>'2019-3 СВОД'!G262</f>
        <v>0</v>
      </c>
      <c r="H93" s="402"/>
      <c r="I93" s="402"/>
    </row>
    <row r="94" spans="1:9" ht="12.75" customHeight="1" hidden="1">
      <c r="A94" s="6"/>
      <c r="B94" s="29">
        <v>2275</v>
      </c>
      <c r="C94" s="30" t="s">
        <v>57</v>
      </c>
      <c r="D94" s="34">
        <f>'2019-3 СВОД'!D263</f>
        <v>0</v>
      </c>
      <c r="E94" s="34">
        <f>'2019-3 СВОД'!E263</f>
        <v>0</v>
      </c>
      <c r="F94" s="34">
        <f>'2019-3 СВОД'!F263</f>
        <v>0</v>
      </c>
      <c r="G94" s="34">
        <f>'2019-3 СВОД'!G263</f>
        <v>0</v>
      </c>
      <c r="H94" s="402"/>
      <c r="I94" s="402"/>
    </row>
    <row r="95" spans="1:9" ht="12.75" customHeight="1" hidden="1">
      <c r="A95" s="6"/>
      <c r="B95" s="31">
        <v>2276</v>
      </c>
      <c r="C95" s="32" t="s">
        <v>58</v>
      </c>
      <c r="D95" s="34">
        <f>'2019-3 СВОД'!D264</f>
        <v>0</v>
      </c>
      <c r="E95" s="34">
        <f>'2019-3 СВОД'!E264</f>
        <v>0</v>
      </c>
      <c r="F95" s="34">
        <f>'2019-3 СВОД'!F264</f>
        <v>0</v>
      </c>
      <c r="G95" s="34">
        <f>'2019-3 СВОД'!G264</f>
        <v>0</v>
      </c>
      <c r="H95" s="402"/>
      <c r="I95" s="402"/>
    </row>
    <row r="96" spans="1:9" ht="12.75" hidden="1">
      <c r="A96" s="6"/>
      <c r="B96" s="27">
        <v>2280</v>
      </c>
      <c r="C96" s="28" t="s">
        <v>59</v>
      </c>
      <c r="D96" s="33">
        <f>D97+D98</f>
        <v>0</v>
      </c>
      <c r="E96" s="33">
        <f>E97+E98</f>
        <v>0</v>
      </c>
      <c r="F96" s="33">
        <f>F97+F98</f>
        <v>0</v>
      </c>
      <c r="G96" s="33">
        <f>G97+G98</f>
        <v>0</v>
      </c>
      <c r="H96" s="402"/>
      <c r="I96" s="402"/>
    </row>
    <row r="97" spans="1:9" ht="12.75" hidden="1">
      <c r="A97" s="6"/>
      <c r="B97" s="29">
        <v>2281</v>
      </c>
      <c r="C97" s="30" t="s">
        <v>60</v>
      </c>
      <c r="D97" s="34">
        <f>'2019-3 СВОД'!D266</f>
        <v>0</v>
      </c>
      <c r="E97" s="34">
        <f>'2019-3 СВОД'!E266</f>
        <v>0</v>
      </c>
      <c r="F97" s="34">
        <f>'2019-3 СВОД'!F266</f>
        <v>0</v>
      </c>
      <c r="G97" s="34">
        <f>'2019-3 СВОД'!G266</f>
        <v>0</v>
      </c>
      <c r="H97" s="402"/>
      <c r="I97" s="402"/>
    </row>
    <row r="98" spans="1:9" ht="12.75" hidden="1">
      <c r="A98" s="6"/>
      <c r="B98" s="29">
        <v>2282</v>
      </c>
      <c r="C98" s="30" t="s">
        <v>61</v>
      </c>
      <c r="D98" s="34">
        <f>'2019-3 СВОД'!D267</f>
        <v>0</v>
      </c>
      <c r="E98" s="34">
        <f>'2019-3 СВОД'!E267</f>
        <v>0</v>
      </c>
      <c r="F98" s="34">
        <f>'2019-3 СВОД'!F267</f>
        <v>0</v>
      </c>
      <c r="G98" s="34">
        <f>'2019-3 СВОД'!G267</f>
        <v>0</v>
      </c>
      <c r="H98" s="402"/>
      <c r="I98" s="402"/>
    </row>
    <row r="99" spans="1:9" ht="12.75" customHeight="1" hidden="1">
      <c r="A99" s="6"/>
      <c r="B99" s="27">
        <v>2400</v>
      </c>
      <c r="C99" s="28" t="s">
        <v>62</v>
      </c>
      <c r="D99" s="34">
        <f>D100+D101</f>
        <v>0</v>
      </c>
      <c r="E99" s="34">
        <f>E100+E101</f>
        <v>0</v>
      </c>
      <c r="F99" s="34">
        <f>F100+F101</f>
        <v>0</v>
      </c>
      <c r="G99" s="34">
        <f>G100+G101</f>
        <v>0</v>
      </c>
      <c r="H99" s="402"/>
      <c r="I99" s="402"/>
    </row>
    <row r="100" spans="1:9" ht="12.75" customHeight="1" hidden="1">
      <c r="A100" s="6"/>
      <c r="B100" s="29">
        <v>2410</v>
      </c>
      <c r="C100" s="30" t="s">
        <v>63</v>
      </c>
      <c r="D100" s="34">
        <f>'2019-3 СВОД'!D269</f>
        <v>0</v>
      </c>
      <c r="E100" s="34">
        <f>'2019-3 СВОД'!E269</f>
        <v>0</v>
      </c>
      <c r="F100" s="34">
        <f>'2019-3 СВОД'!F269</f>
        <v>0</v>
      </c>
      <c r="G100" s="34">
        <f>'2019-3 СВОД'!G269</f>
        <v>0</v>
      </c>
      <c r="H100" s="402"/>
      <c r="I100" s="402"/>
    </row>
    <row r="101" spans="1:9" ht="12.75" customHeight="1" hidden="1">
      <c r="A101" s="6"/>
      <c r="B101" s="29">
        <v>2420</v>
      </c>
      <c r="C101" s="30" t="s">
        <v>64</v>
      </c>
      <c r="D101" s="34">
        <f>'2019-3 СВОД'!D270</f>
        <v>0</v>
      </c>
      <c r="E101" s="34">
        <f>'2019-3 СВОД'!E270</f>
        <v>0</v>
      </c>
      <c r="F101" s="34">
        <f>'2019-3 СВОД'!F270</f>
        <v>0</v>
      </c>
      <c r="G101" s="34">
        <f>'2019-3 СВОД'!G270</f>
        <v>0</v>
      </c>
      <c r="H101" s="402"/>
      <c r="I101" s="402"/>
    </row>
    <row r="102" spans="1:9" ht="12.75" customHeight="1" hidden="1">
      <c r="A102" s="6"/>
      <c r="B102" s="27">
        <v>2600</v>
      </c>
      <c r="C102" s="28" t="s">
        <v>65</v>
      </c>
      <c r="D102" s="33">
        <f>D103+D104+D105</f>
        <v>0</v>
      </c>
      <c r="E102" s="33">
        <f>E103+E104+E105</f>
        <v>0</v>
      </c>
      <c r="F102" s="33">
        <f>F103+F104+F105</f>
        <v>0</v>
      </c>
      <c r="G102" s="33">
        <f>G103+G104+G105</f>
        <v>0</v>
      </c>
      <c r="H102" s="402"/>
      <c r="I102" s="402"/>
    </row>
    <row r="103" spans="1:9" ht="12.75" hidden="1">
      <c r="A103" s="6"/>
      <c r="B103" s="29">
        <v>2610</v>
      </c>
      <c r="C103" s="30" t="s">
        <v>66</v>
      </c>
      <c r="D103" s="34">
        <f>'2019-3 СВОД'!D272</f>
        <v>0</v>
      </c>
      <c r="E103" s="34">
        <f>'2019-3 СВОД'!E272</f>
        <v>0</v>
      </c>
      <c r="F103" s="34">
        <f>'2019-3 СВОД'!F272</f>
        <v>0</v>
      </c>
      <c r="G103" s="34">
        <f>'2019-3 СВОД'!G272</f>
        <v>0</v>
      </c>
      <c r="H103" s="402"/>
      <c r="I103" s="402"/>
    </row>
    <row r="104" spans="1:9" ht="12.75" customHeight="1" hidden="1">
      <c r="A104" s="6"/>
      <c r="B104" s="29">
        <v>2620</v>
      </c>
      <c r="C104" s="30" t="s">
        <v>67</v>
      </c>
      <c r="D104" s="34">
        <f>'2019-3 СВОД'!D273</f>
        <v>0</v>
      </c>
      <c r="E104" s="34">
        <f>'2019-3 СВОД'!E273</f>
        <v>0</v>
      </c>
      <c r="F104" s="34">
        <f>'2019-3 СВОД'!F273</f>
        <v>0</v>
      </c>
      <c r="G104" s="34">
        <f>'2019-3 СВОД'!G273</f>
        <v>0</v>
      </c>
      <c r="H104" s="402"/>
      <c r="I104" s="402"/>
    </row>
    <row r="105" spans="1:9" ht="12.75" hidden="1">
      <c r="A105" s="6"/>
      <c r="B105" s="29">
        <v>2630</v>
      </c>
      <c r="C105" s="30" t="s">
        <v>68</v>
      </c>
      <c r="D105" s="34">
        <f>'2019-3 СВОД'!D274</f>
        <v>0</v>
      </c>
      <c r="E105" s="34">
        <f>'2019-3 СВОД'!E274</f>
        <v>0</v>
      </c>
      <c r="F105" s="34">
        <f>'2019-3 СВОД'!F274</f>
        <v>0</v>
      </c>
      <c r="G105" s="34">
        <f>'2019-3 СВОД'!G274</f>
        <v>0</v>
      </c>
      <c r="H105" s="402"/>
      <c r="I105" s="402"/>
    </row>
    <row r="106" spans="1:9" ht="12.75" customHeight="1" hidden="1">
      <c r="A106" s="6"/>
      <c r="B106" s="27">
        <v>2700</v>
      </c>
      <c r="C106" s="28" t="s">
        <v>69</v>
      </c>
      <c r="D106" s="33">
        <f>D107+D108+D109</f>
        <v>0</v>
      </c>
      <c r="E106" s="33">
        <f>E107+E108+E109</f>
        <v>0</v>
      </c>
      <c r="F106" s="33">
        <f>F107+F108+F109</f>
        <v>0</v>
      </c>
      <c r="G106" s="33">
        <f>G107+G108+G109</f>
        <v>0</v>
      </c>
      <c r="H106" s="402"/>
      <c r="I106" s="402"/>
    </row>
    <row r="107" spans="1:9" ht="12.75" customHeight="1" hidden="1">
      <c r="A107" s="6"/>
      <c r="B107" s="29">
        <v>2710</v>
      </c>
      <c r="C107" s="30" t="s">
        <v>70</v>
      </c>
      <c r="D107" s="34">
        <f>'2019-3 СВОД'!D276</f>
        <v>0</v>
      </c>
      <c r="E107" s="34">
        <f>'2019-3 СВОД'!E276</f>
        <v>0</v>
      </c>
      <c r="F107" s="34">
        <f>'2019-3 СВОД'!F276</f>
        <v>0</v>
      </c>
      <c r="G107" s="34">
        <f>'2019-3 СВОД'!G276</f>
        <v>0</v>
      </c>
      <c r="H107" s="402"/>
      <c r="I107" s="402"/>
    </row>
    <row r="108" spans="1:9" ht="12.75" customHeight="1" hidden="1">
      <c r="A108" s="6"/>
      <c r="B108" s="29">
        <v>2720</v>
      </c>
      <c r="C108" s="30" t="s">
        <v>71</v>
      </c>
      <c r="D108" s="34">
        <f>'2019-3 СВОД'!D277</f>
        <v>0</v>
      </c>
      <c r="E108" s="34">
        <f>'2019-3 СВОД'!E277</f>
        <v>0</v>
      </c>
      <c r="F108" s="34">
        <f>'2019-3 СВОД'!F277</f>
        <v>0</v>
      </c>
      <c r="G108" s="34">
        <f>'2019-3 СВОД'!G277</f>
        <v>0</v>
      </c>
      <c r="H108" s="402"/>
      <c r="I108" s="402"/>
    </row>
    <row r="109" spans="1:9" ht="12.75" customHeight="1" hidden="1">
      <c r="A109" s="6"/>
      <c r="B109" s="29">
        <v>2730</v>
      </c>
      <c r="C109" s="30" t="s">
        <v>72</v>
      </c>
      <c r="D109" s="34">
        <f>'2019-3 СВОД'!D278</f>
        <v>0</v>
      </c>
      <c r="E109" s="34">
        <f>'2019-3 СВОД'!E278</f>
        <v>0</v>
      </c>
      <c r="F109" s="34">
        <f>'2019-3 СВОД'!F278</f>
        <v>0</v>
      </c>
      <c r="G109" s="34">
        <f>'2019-3 СВОД'!G278</f>
        <v>0</v>
      </c>
      <c r="H109" s="402"/>
      <c r="I109" s="402"/>
    </row>
    <row r="110" spans="1:9" ht="12.75" customHeight="1" hidden="1">
      <c r="A110" s="6"/>
      <c r="B110" s="27">
        <v>2800</v>
      </c>
      <c r="C110" s="28" t="s">
        <v>73</v>
      </c>
      <c r="D110" s="34">
        <f>'2019-3 СВОД'!D279</f>
        <v>0</v>
      </c>
      <c r="E110" s="34">
        <f>'2019-3 СВОД'!E279</f>
        <v>0</v>
      </c>
      <c r="F110" s="34">
        <f>'2019-3 СВОД'!F279</f>
        <v>0</v>
      </c>
      <c r="G110" s="34">
        <f>'2019-3 СВОД'!G279</f>
        <v>0</v>
      </c>
      <c r="H110" s="402"/>
      <c r="I110" s="402"/>
    </row>
    <row r="111" spans="1:9" ht="12.75" hidden="1">
      <c r="A111" s="21"/>
      <c r="B111" s="27">
        <v>3000</v>
      </c>
      <c r="C111" s="28" t="s">
        <v>40</v>
      </c>
      <c r="D111" s="40">
        <f>D112+D126</f>
        <v>0</v>
      </c>
      <c r="E111" s="40">
        <f>E112+E126</f>
        <v>0</v>
      </c>
      <c r="F111" s="40">
        <f>F112+F126</f>
        <v>0</v>
      </c>
      <c r="G111" s="40">
        <f>G112+G126</f>
        <v>0</v>
      </c>
      <c r="H111" s="402"/>
      <c r="I111" s="402"/>
    </row>
    <row r="112" spans="1:9" ht="12.75" hidden="1">
      <c r="A112" s="21"/>
      <c r="B112" s="27">
        <v>3100</v>
      </c>
      <c r="C112" s="28" t="s">
        <v>41</v>
      </c>
      <c r="D112" s="40">
        <f>D113+D114+D117+D120+D124+D125+D126</f>
        <v>0</v>
      </c>
      <c r="E112" s="40">
        <f>E113+E114+E117+E120+E124+E125+E126</f>
        <v>0</v>
      </c>
      <c r="F112" s="40">
        <f>F113+F114+F117+F120+F124+F125+F126</f>
        <v>0</v>
      </c>
      <c r="G112" s="40">
        <f>G113+G114+G117+G120+G124+G125+G126</f>
        <v>0</v>
      </c>
      <c r="H112" s="402"/>
      <c r="I112" s="402"/>
    </row>
    <row r="113" spans="1:9" ht="12.75" hidden="1">
      <c r="A113" s="21"/>
      <c r="B113" s="29">
        <v>3110</v>
      </c>
      <c r="C113" s="30" t="s">
        <v>74</v>
      </c>
      <c r="D113" s="34">
        <f>'2019-3 СВОД'!D282</f>
        <v>0</v>
      </c>
      <c r="E113" s="34">
        <f>'2019-3 СВОД'!E282</f>
        <v>0</v>
      </c>
      <c r="F113" s="34">
        <f>'2019-3 СВОД'!F282</f>
        <v>0</v>
      </c>
      <c r="G113" s="34">
        <f>'2019-3 СВОД'!G282</f>
        <v>0</v>
      </c>
      <c r="H113" s="402"/>
      <c r="I113" s="402"/>
    </row>
    <row r="114" spans="1:9" ht="12.75" hidden="1">
      <c r="A114" s="21"/>
      <c r="B114" s="29">
        <v>3120</v>
      </c>
      <c r="C114" s="30" t="s">
        <v>75</v>
      </c>
      <c r="D114" s="40">
        <f>D115+D116</f>
        <v>0</v>
      </c>
      <c r="E114" s="40">
        <f>E115+E116</f>
        <v>0</v>
      </c>
      <c r="F114" s="40">
        <f>F115+F116</f>
        <v>0</v>
      </c>
      <c r="G114" s="40">
        <f>G115+G116</f>
        <v>0</v>
      </c>
      <c r="H114" s="402"/>
      <c r="I114" s="402"/>
    </row>
    <row r="115" spans="1:9" ht="12.75" hidden="1">
      <c r="A115" s="21"/>
      <c r="B115" s="29">
        <v>3121</v>
      </c>
      <c r="C115" s="30" t="s">
        <v>76</v>
      </c>
      <c r="D115" s="34">
        <f>'2019-3 СВОД'!D284</f>
        <v>0</v>
      </c>
      <c r="E115" s="34">
        <f>'2019-3 СВОД'!E284</f>
        <v>0</v>
      </c>
      <c r="F115" s="34">
        <f>'2019-3 СВОД'!F284</f>
        <v>0</v>
      </c>
      <c r="G115" s="34">
        <f>'2019-3 СВОД'!G284</f>
        <v>0</v>
      </c>
      <c r="H115" s="402"/>
      <c r="I115" s="402"/>
    </row>
    <row r="116" spans="1:9" ht="12.75" hidden="1">
      <c r="A116" s="21"/>
      <c r="B116" s="29">
        <v>3122</v>
      </c>
      <c r="C116" s="30" t="s">
        <v>77</v>
      </c>
      <c r="D116" s="34">
        <f>'2019-3 СВОД'!D285</f>
        <v>0</v>
      </c>
      <c r="E116" s="34">
        <f>'2019-3 СВОД'!E285</f>
        <v>0</v>
      </c>
      <c r="F116" s="34">
        <f>'2019-3 СВОД'!F285</f>
        <v>0</v>
      </c>
      <c r="G116" s="34">
        <f>'2019-3 СВОД'!G285</f>
        <v>0</v>
      </c>
      <c r="H116" s="402"/>
      <c r="I116" s="402"/>
    </row>
    <row r="117" spans="1:9" ht="12.75" hidden="1">
      <c r="A117" s="21"/>
      <c r="B117" s="29">
        <v>3130</v>
      </c>
      <c r="C117" s="30" t="s">
        <v>78</v>
      </c>
      <c r="D117" s="40">
        <f>D118+D119</f>
        <v>0</v>
      </c>
      <c r="E117" s="40">
        <f>E118+E119</f>
        <v>0</v>
      </c>
      <c r="F117" s="40">
        <f>F118+F119</f>
        <v>0</v>
      </c>
      <c r="G117" s="40">
        <f>G118+G119</f>
        <v>0</v>
      </c>
      <c r="H117" s="402"/>
      <c r="I117" s="402"/>
    </row>
    <row r="118" spans="1:9" ht="12.75" hidden="1">
      <c r="A118" s="21"/>
      <c r="B118" s="29">
        <v>3131</v>
      </c>
      <c r="C118" s="30" t="s">
        <v>79</v>
      </c>
      <c r="D118" s="34">
        <f>'2019-3 СВОД'!D287</f>
        <v>0</v>
      </c>
      <c r="E118" s="34">
        <f>'2019-3 СВОД'!E287</f>
        <v>0</v>
      </c>
      <c r="F118" s="34">
        <f>'2019-3 СВОД'!F287</f>
        <v>0</v>
      </c>
      <c r="G118" s="34">
        <f>'2019-3 СВОД'!G287</f>
        <v>0</v>
      </c>
      <c r="H118" s="402"/>
      <c r="I118" s="402"/>
    </row>
    <row r="119" spans="1:9" ht="12.75" hidden="1">
      <c r="A119" s="21"/>
      <c r="B119" s="29">
        <v>3132</v>
      </c>
      <c r="C119" s="30" t="s">
        <v>80</v>
      </c>
      <c r="D119" s="34">
        <f>'2019-3 СВОД'!D288</f>
        <v>0</v>
      </c>
      <c r="E119" s="34">
        <f>'2019-3 СВОД'!E288</f>
        <v>0</v>
      </c>
      <c r="F119" s="34">
        <f>'2019-3 СВОД'!F288</f>
        <v>0</v>
      </c>
      <c r="G119" s="34">
        <f>'2019-3 СВОД'!G288</f>
        <v>0</v>
      </c>
      <c r="H119" s="402"/>
      <c r="I119" s="402"/>
    </row>
    <row r="120" spans="1:9" ht="12.75" hidden="1">
      <c r="A120" s="21"/>
      <c r="B120" s="29">
        <v>3140</v>
      </c>
      <c r="C120" s="30" t="s">
        <v>81</v>
      </c>
      <c r="D120" s="40">
        <f>D121+D122+D123</f>
        <v>0</v>
      </c>
      <c r="E120" s="40">
        <f>E121+E122+E123</f>
        <v>0</v>
      </c>
      <c r="F120" s="40">
        <f>F121+F122+F123</f>
        <v>0</v>
      </c>
      <c r="G120" s="40">
        <f>G121+G122+G123</f>
        <v>0</v>
      </c>
      <c r="H120" s="402"/>
      <c r="I120" s="402"/>
    </row>
    <row r="121" spans="1:9" ht="12.75" hidden="1">
      <c r="A121" s="21"/>
      <c r="B121" s="29">
        <v>3141</v>
      </c>
      <c r="C121" s="30" t="s">
        <v>82</v>
      </c>
      <c r="D121" s="34">
        <f>'2019-3 СВОД'!D290</f>
        <v>0</v>
      </c>
      <c r="E121" s="34">
        <f>'2019-3 СВОД'!E290</f>
        <v>0</v>
      </c>
      <c r="F121" s="34">
        <f>'2019-3 СВОД'!F290</f>
        <v>0</v>
      </c>
      <c r="G121" s="34">
        <f>'2019-3 СВОД'!G290</f>
        <v>0</v>
      </c>
      <c r="H121" s="402"/>
      <c r="I121" s="402"/>
    </row>
    <row r="122" spans="1:9" ht="12.75" hidden="1">
      <c r="A122" s="21"/>
      <c r="B122" s="29">
        <v>3142</v>
      </c>
      <c r="C122" s="30" t="s">
        <v>83</v>
      </c>
      <c r="D122" s="34">
        <f>'2019-3 СВОД'!D291</f>
        <v>0</v>
      </c>
      <c r="E122" s="34">
        <f>'2019-3 СВОД'!E291</f>
        <v>0</v>
      </c>
      <c r="F122" s="34">
        <f>'2019-3 СВОД'!F291</f>
        <v>0</v>
      </c>
      <c r="G122" s="34">
        <f>'2019-3 СВОД'!G291</f>
        <v>0</v>
      </c>
      <c r="H122" s="402"/>
      <c r="I122" s="402"/>
    </row>
    <row r="123" spans="1:9" ht="12.75" hidden="1">
      <c r="A123" s="21"/>
      <c r="B123" s="29">
        <v>3143</v>
      </c>
      <c r="C123" s="30" t="s">
        <v>84</v>
      </c>
      <c r="D123" s="34">
        <f>'2019-3 СВОД'!D292</f>
        <v>0</v>
      </c>
      <c r="E123" s="34">
        <f>'2019-3 СВОД'!E292</f>
        <v>0</v>
      </c>
      <c r="F123" s="34">
        <f>'2019-3 СВОД'!F292</f>
        <v>0</v>
      </c>
      <c r="G123" s="34">
        <f>'2019-3 СВОД'!G292</f>
        <v>0</v>
      </c>
      <c r="H123" s="402"/>
      <c r="I123" s="402"/>
    </row>
    <row r="124" spans="1:9" ht="12.75" hidden="1">
      <c r="A124" s="21"/>
      <c r="B124" s="29">
        <v>3150</v>
      </c>
      <c r="C124" s="30" t="s">
        <v>85</v>
      </c>
      <c r="D124" s="34">
        <f>'2019-3 СВОД'!D293</f>
        <v>0</v>
      </c>
      <c r="E124" s="34">
        <f>'2019-3 СВОД'!E293</f>
        <v>0</v>
      </c>
      <c r="F124" s="34">
        <f>'2019-3 СВОД'!F293</f>
        <v>0</v>
      </c>
      <c r="G124" s="34">
        <f>'2019-3 СВОД'!G293</f>
        <v>0</v>
      </c>
      <c r="H124" s="402"/>
      <c r="I124" s="402"/>
    </row>
    <row r="125" spans="1:9" ht="12.75" hidden="1">
      <c r="A125" s="21"/>
      <c r="B125" s="29">
        <v>3160</v>
      </c>
      <c r="C125" s="30" t="s">
        <v>86</v>
      </c>
      <c r="D125" s="34">
        <f>'2019-3 СВОД'!D294</f>
        <v>0</v>
      </c>
      <c r="E125" s="34">
        <f>'2019-3 СВОД'!E294</f>
        <v>0</v>
      </c>
      <c r="F125" s="34">
        <f>'2019-3 СВОД'!F294</f>
        <v>0</v>
      </c>
      <c r="G125" s="34">
        <f>'2019-3 СВОД'!G294</f>
        <v>0</v>
      </c>
      <c r="H125" s="402"/>
      <c r="I125" s="402"/>
    </row>
    <row r="126" spans="1:9" ht="12.75" hidden="1">
      <c r="A126" s="21"/>
      <c r="B126" s="27">
        <v>3200</v>
      </c>
      <c r="C126" s="28" t="s">
        <v>87</v>
      </c>
      <c r="D126" s="40">
        <f>D127+D128+D129+D130</f>
        <v>0</v>
      </c>
      <c r="E126" s="40">
        <f>E127+E128+E129+E130</f>
        <v>0</v>
      </c>
      <c r="F126" s="40">
        <f>F127+F128+F129+F130</f>
        <v>0</v>
      </c>
      <c r="G126" s="40">
        <f>G127+G128+G129+G130</f>
        <v>0</v>
      </c>
      <c r="H126" s="402"/>
      <c r="I126" s="402"/>
    </row>
    <row r="127" spans="1:9" ht="12.75" hidden="1">
      <c r="A127" s="21"/>
      <c r="B127" s="29">
        <v>3210</v>
      </c>
      <c r="C127" s="30" t="s">
        <v>88</v>
      </c>
      <c r="D127" s="34">
        <f>'2019-3 СВОД'!D296</f>
        <v>0</v>
      </c>
      <c r="E127" s="34">
        <f>'2019-3 СВОД'!E296</f>
        <v>0</v>
      </c>
      <c r="F127" s="34">
        <f>'2019-3 СВОД'!F296</f>
        <v>0</v>
      </c>
      <c r="G127" s="34">
        <f>'2019-3 СВОД'!G296</f>
        <v>0</v>
      </c>
      <c r="H127" s="402"/>
      <c r="I127" s="402"/>
    </row>
    <row r="128" spans="1:9" ht="12.75" hidden="1">
      <c r="A128" s="21"/>
      <c r="B128" s="29">
        <v>3220</v>
      </c>
      <c r="C128" s="30" t="s">
        <v>89</v>
      </c>
      <c r="D128" s="34">
        <f>'2019-3 СВОД'!D297</f>
        <v>0</v>
      </c>
      <c r="E128" s="34">
        <f>'2019-3 СВОД'!E297</f>
        <v>0</v>
      </c>
      <c r="F128" s="34">
        <f>'2019-3 СВОД'!F297</f>
        <v>0</v>
      </c>
      <c r="G128" s="34">
        <f>'2019-3 СВОД'!G297</f>
        <v>0</v>
      </c>
      <c r="H128" s="402"/>
      <c r="I128" s="402"/>
    </row>
    <row r="129" spans="1:9" ht="12.75" hidden="1">
      <c r="A129" s="21"/>
      <c r="B129" s="29">
        <v>3230</v>
      </c>
      <c r="C129" s="30" t="s">
        <v>90</v>
      </c>
      <c r="D129" s="34">
        <f>'2019-3 СВОД'!D298</f>
        <v>0</v>
      </c>
      <c r="E129" s="34">
        <f>'2019-3 СВОД'!E298</f>
        <v>0</v>
      </c>
      <c r="F129" s="34">
        <f>'2019-3 СВОД'!F298</f>
        <v>0</v>
      </c>
      <c r="G129" s="34">
        <f>'2019-3 СВОД'!G298</f>
        <v>0</v>
      </c>
      <c r="H129" s="402"/>
      <c r="I129" s="402"/>
    </row>
    <row r="130" spans="1:9" ht="13.5" customHeight="1" hidden="1">
      <c r="A130" s="21"/>
      <c r="B130" s="29">
        <v>3240</v>
      </c>
      <c r="C130" s="30" t="s">
        <v>91</v>
      </c>
      <c r="D130" s="34">
        <f>'2019-3 СВОД'!D299</f>
        <v>0</v>
      </c>
      <c r="E130" s="34">
        <f>'2019-3 СВОД'!E299</f>
        <v>0</v>
      </c>
      <c r="F130" s="34">
        <f>'2019-3 СВОД'!F299</f>
        <v>0</v>
      </c>
      <c r="G130" s="34">
        <f>'2019-3 СВОД'!G299</f>
        <v>0</v>
      </c>
      <c r="H130" s="402"/>
      <c r="I130" s="402"/>
    </row>
    <row r="131" spans="1:9" s="19" customFormat="1" ht="13.5" customHeight="1">
      <c r="A131" s="7"/>
      <c r="B131" s="7"/>
      <c r="C131" s="20" t="s">
        <v>3</v>
      </c>
      <c r="D131" s="34">
        <f>D76+D111</f>
        <v>351.22999999999996</v>
      </c>
      <c r="E131" s="34">
        <f>E76+E111</f>
        <v>258.19</v>
      </c>
      <c r="F131" s="34">
        <f>F76+F111</f>
        <v>200</v>
      </c>
      <c r="G131" s="34">
        <f>G76+G111</f>
        <v>0</v>
      </c>
      <c r="H131" s="402"/>
      <c r="I131" s="402"/>
    </row>
    <row r="132" spans="1:8" ht="15">
      <c r="A132" s="115" t="s">
        <v>209</v>
      </c>
      <c r="B132" s="115" t="s">
        <v>209</v>
      </c>
      <c r="C132" s="115"/>
      <c r="D132" s="115"/>
      <c r="E132" s="115"/>
      <c r="F132" s="115"/>
      <c r="G132" s="115"/>
      <c r="H132" s="121"/>
    </row>
    <row r="133" spans="1:9" ht="15" customHeight="1">
      <c r="A133" s="444" t="s">
        <v>25</v>
      </c>
      <c r="B133" s="444"/>
      <c r="C133" s="444"/>
      <c r="D133" s="444"/>
      <c r="E133" s="444"/>
      <c r="F133" s="444"/>
      <c r="G133" s="444"/>
      <c r="H133" s="444"/>
      <c r="I133" s="444"/>
    </row>
    <row r="134" spans="1:9" ht="30" customHeight="1">
      <c r="A134" s="14" t="s">
        <v>20</v>
      </c>
      <c r="B134" s="8" t="s">
        <v>0</v>
      </c>
      <c r="C134" s="14" t="s">
        <v>1</v>
      </c>
      <c r="D134" s="14" t="s">
        <v>14</v>
      </c>
      <c r="E134" s="441" t="s">
        <v>15</v>
      </c>
      <c r="F134" s="441"/>
      <c r="G134" s="441"/>
      <c r="H134" s="14" t="s">
        <v>214</v>
      </c>
      <c r="I134" s="14" t="s">
        <v>215</v>
      </c>
    </row>
    <row r="135" spans="1:9" ht="13.5" thickBot="1">
      <c r="A135" s="17">
        <v>1</v>
      </c>
      <c r="B135" s="17">
        <v>1</v>
      </c>
      <c r="C135" s="38">
        <v>2</v>
      </c>
      <c r="D135" s="38">
        <v>3</v>
      </c>
      <c r="E135" s="427">
        <v>4</v>
      </c>
      <c r="F135" s="427"/>
      <c r="G135" s="427"/>
      <c r="H135" s="38">
        <v>5</v>
      </c>
      <c r="I135" s="38">
        <v>6</v>
      </c>
    </row>
    <row r="136" spans="1:9" ht="13.5" thickTop="1">
      <c r="A136" s="274"/>
      <c r="B136" s="292">
        <v>1113120</v>
      </c>
      <c r="C136" s="289" t="s">
        <v>490</v>
      </c>
      <c r="D136" s="293"/>
      <c r="E136" s="451"/>
      <c r="F136" s="451"/>
      <c r="G136" s="451"/>
      <c r="H136" s="293"/>
      <c r="I136" s="293"/>
    </row>
    <row r="137" spans="1:9" ht="12.75">
      <c r="A137" s="274"/>
      <c r="B137" s="292">
        <v>1113122</v>
      </c>
      <c r="C137" s="477" t="s">
        <v>491</v>
      </c>
      <c r="D137" s="478"/>
      <c r="E137" s="478"/>
      <c r="F137" s="478"/>
      <c r="G137" s="478"/>
      <c r="H137" s="478"/>
      <c r="I137" s="479"/>
    </row>
    <row r="138" spans="1:9" ht="12.75">
      <c r="A138" s="274"/>
      <c r="B138" s="298"/>
      <c r="C138" s="455" t="s">
        <v>492</v>
      </c>
      <c r="D138" s="456"/>
      <c r="E138" s="456"/>
      <c r="F138" s="456"/>
      <c r="G138" s="456"/>
      <c r="H138" s="456"/>
      <c r="I138" s="457"/>
    </row>
    <row r="139" spans="1:9" ht="12.75">
      <c r="A139" s="274"/>
      <c r="B139" s="290"/>
      <c r="C139" s="61" t="s">
        <v>329</v>
      </c>
      <c r="D139" s="62"/>
      <c r="E139" s="427"/>
      <c r="F139" s="427"/>
      <c r="G139" s="427"/>
      <c r="H139" s="295"/>
      <c r="I139" s="295"/>
    </row>
    <row r="140" spans="1:9" ht="26.25">
      <c r="A140" s="274"/>
      <c r="B140" s="290"/>
      <c r="C140" s="63" t="s">
        <v>493</v>
      </c>
      <c r="D140" s="53" t="s">
        <v>124</v>
      </c>
      <c r="E140" s="471" t="s">
        <v>270</v>
      </c>
      <c r="F140" s="472"/>
      <c r="G140" s="473"/>
      <c r="H140" s="295">
        <v>15</v>
      </c>
      <c r="I140" s="295">
        <f>H140</f>
        <v>15</v>
      </c>
    </row>
    <row r="141" spans="1:9" ht="26.25">
      <c r="A141" s="274"/>
      <c r="B141" s="290"/>
      <c r="C141" s="63" t="s">
        <v>494</v>
      </c>
      <c r="D141" s="53" t="s">
        <v>138</v>
      </c>
      <c r="E141" s="471" t="s">
        <v>270</v>
      </c>
      <c r="F141" s="472"/>
      <c r="G141" s="473"/>
      <c r="H141" s="295">
        <v>500</v>
      </c>
      <c r="I141" s="295">
        <f>H141</f>
        <v>500</v>
      </c>
    </row>
    <row r="142" spans="1:9" ht="12.75">
      <c r="A142" s="274"/>
      <c r="B142" s="290"/>
      <c r="C142" s="299" t="s">
        <v>331</v>
      </c>
      <c r="D142" s="53" t="s">
        <v>125</v>
      </c>
      <c r="E142" s="452" t="s">
        <v>125</v>
      </c>
      <c r="F142" s="453"/>
      <c r="G142" s="454"/>
      <c r="H142" s="295" t="s">
        <v>125</v>
      </c>
      <c r="I142" s="295"/>
    </row>
    <row r="143" spans="1:9" ht="26.25">
      <c r="A143" s="274"/>
      <c r="B143" s="290"/>
      <c r="C143" s="63" t="s">
        <v>495</v>
      </c>
      <c r="D143" s="53" t="s">
        <v>145</v>
      </c>
      <c r="E143" s="471" t="s">
        <v>146</v>
      </c>
      <c r="F143" s="472"/>
      <c r="G143" s="473"/>
      <c r="H143" s="297">
        <f>F18/H140*1000</f>
        <v>9813.333333333332</v>
      </c>
      <c r="I143" s="297">
        <f>H143</f>
        <v>9813.333333333332</v>
      </c>
    </row>
    <row r="144" spans="1:9" ht="26.25">
      <c r="A144" s="274"/>
      <c r="B144" s="290"/>
      <c r="C144" s="63" t="s">
        <v>496</v>
      </c>
      <c r="D144" s="53" t="s">
        <v>145</v>
      </c>
      <c r="E144" s="471" t="s">
        <v>146</v>
      </c>
      <c r="F144" s="472"/>
      <c r="G144" s="473"/>
      <c r="H144" s="295">
        <f>F18/H141*1000</f>
        <v>294.4</v>
      </c>
      <c r="I144" s="297">
        <f>H144</f>
        <v>294.4</v>
      </c>
    </row>
    <row r="145" spans="1:9" ht="12.75">
      <c r="A145" s="274"/>
      <c r="B145" s="290"/>
      <c r="C145" s="299" t="s">
        <v>147</v>
      </c>
      <c r="D145" s="53" t="s">
        <v>125</v>
      </c>
      <c r="E145" s="471" t="s">
        <v>125</v>
      </c>
      <c r="F145" s="472"/>
      <c r="G145" s="473"/>
      <c r="H145" s="295" t="s">
        <v>125</v>
      </c>
      <c r="I145" s="295"/>
    </row>
    <row r="146" spans="1:9" ht="26.25">
      <c r="A146" s="274"/>
      <c r="B146" s="290"/>
      <c r="C146" s="63" t="s">
        <v>497</v>
      </c>
      <c r="D146" s="53" t="s">
        <v>123</v>
      </c>
      <c r="E146" s="452" t="s">
        <v>270</v>
      </c>
      <c r="F146" s="453"/>
      <c r="G146" s="454"/>
      <c r="H146" s="295">
        <v>100</v>
      </c>
      <c r="I146" s="295">
        <f>H146</f>
        <v>100</v>
      </c>
    </row>
    <row r="147" spans="1:9" ht="12.75">
      <c r="A147" s="274"/>
      <c r="B147" s="292">
        <v>1113123</v>
      </c>
      <c r="C147" s="289" t="s">
        <v>498</v>
      </c>
      <c r="D147" s="293"/>
      <c r="E147" s="474"/>
      <c r="F147" s="475"/>
      <c r="G147" s="476"/>
      <c r="H147" s="293"/>
      <c r="I147" s="293"/>
    </row>
    <row r="148" spans="1:9" ht="12.75">
      <c r="A148" s="274"/>
      <c r="B148" s="298"/>
      <c r="C148" s="455" t="s">
        <v>499</v>
      </c>
      <c r="D148" s="456"/>
      <c r="E148" s="456"/>
      <c r="F148" s="456"/>
      <c r="G148" s="456"/>
      <c r="H148" s="456"/>
      <c r="I148" s="457"/>
    </row>
    <row r="149" spans="1:9" ht="12.75">
      <c r="A149" s="274"/>
      <c r="B149" s="290"/>
      <c r="C149" s="299" t="s">
        <v>329</v>
      </c>
      <c r="D149" s="53"/>
      <c r="E149" s="452"/>
      <c r="F149" s="453"/>
      <c r="G149" s="454"/>
      <c r="H149" s="295"/>
      <c r="I149" s="295"/>
    </row>
    <row r="150" spans="1:9" ht="12.75">
      <c r="A150" s="274"/>
      <c r="B150" s="290"/>
      <c r="C150" s="63" t="s">
        <v>500</v>
      </c>
      <c r="D150" s="53" t="s">
        <v>124</v>
      </c>
      <c r="E150" s="452" t="s">
        <v>270</v>
      </c>
      <c r="F150" s="453" t="s">
        <v>270</v>
      </c>
      <c r="G150" s="454" t="s">
        <v>270</v>
      </c>
      <c r="H150" s="295">
        <v>15</v>
      </c>
      <c r="I150" s="295">
        <f>H150</f>
        <v>15</v>
      </c>
    </row>
    <row r="151" spans="1:9" ht="12.75">
      <c r="A151" s="274"/>
      <c r="B151" s="290"/>
      <c r="C151" s="63" t="s">
        <v>501</v>
      </c>
      <c r="D151" s="53" t="s">
        <v>138</v>
      </c>
      <c r="E151" s="452" t="s">
        <v>270</v>
      </c>
      <c r="F151" s="453" t="s">
        <v>270</v>
      </c>
      <c r="G151" s="454" t="s">
        <v>270</v>
      </c>
      <c r="H151" s="295">
        <v>1200</v>
      </c>
      <c r="I151" s="295">
        <f>H151</f>
        <v>1200</v>
      </c>
    </row>
    <row r="152" spans="1:9" ht="12.75">
      <c r="A152" s="274"/>
      <c r="B152" s="290"/>
      <c r="C152" s="299" t="s">
        <v>331</v>
      </c>
      <c r="D152" s="53" t="s">
        <v>125</v>
      </c>
      <c r="E152" s="452" t="s">
        <v>125</v>
      </c>
      <c r="F152" s="453" t="s">
        <v>125</v>
      </c>
      <c r="G152" s="454" t="s">
        <v>125</v>
      </c>
      <c r="H152" s="295" t="s">
        <v>125</v>
      </c>
      <c r="I152" s="295"/>
    </row>
    <row r="153" spans="1:9" ht="26.25">
      <c r="A153" s="274"/>
      <c r="B153" s="290"/>
      <c r="C153" s="63" t="s">
        <v>495</v>
      </c>
      <c r="D153" s="53" t="s">
        <v>145</v>
      </c>
      <c r="E153" s="452" t="s">
        <v>146</v>
      </c>
      <c r="F153" s="453" t="s">
        <v>146</v>
      </c>
      <c r="G153" s="454" t="s">
        <v>146</v>
      </c>
      <c r="H153" s="297">
        <f>F75/H150*1000</f>
        <v>13333.333333333334</v>
      </c>
      <c r="I153" s="297">
        <f>H153</f>
        <v>13333.333333333334</v>
      </c>
    </row>
    <row r="154" spans="1:9" ht="26.25">
      <c r="A154" s="274"/>
      <c r="B154" s="290"/>
      <c r="C154" s="200" t="s">
        <v>496</v>
      </c>
      <c r="D154" s="62" t="s">
        <v>145</v>
      </c>
      <c r="E154" s="466" t="s">
        <v>146</v>
      </c>
      <c r="F154" s="466" t="s">
        <v>146</v>
      </c>
      <c r="G154" s="466" t="s">
        <v>146</v>
      </c>
      <c r="H154" s="297">
        <f>F75/H151*1000</f>
        <v>166.66666666666666</v>
      </c>
      <c r="I154" s="297">
        <f>H154</f>
        <v>166.66666666666666</v>
      </c>
    </row>
    <row r="155" spans="1:9" ht="12.75">
      <c r="A155" s="274"/>
      <c r="B155" s="290"/>
      <c r="C155" s="299" t="s">
        <v>147</v>
      </c>
      <c r="D155" s="53" t="s">
        <v>125</v>
      </c>
      <c r="E155" s="467" t="s">
        <v>125</v>
      </c>
      <c r="F155" s="467" t="s">
        <v>125</v>
      </c>
      <c r="G155" s="467" t="s">
        <v>125</v>
      </c>
      <c r="H155" s="297" t="s">
        <v>125</v>
      </c>
      <c r="I155" s="297"/>
    </row>
    <row r="156" spans="1:9" ht="26.25">
      <c r="A156" s="274"/>
      <c r="B156" s="290"/>
      <c r="C156" s="200" t="s">
        <v>497</v>
      </c>
      <c r="D156" s="62" t="s">
        <v>123</v>
      </c>
      <c r="E156" s="466" t="s">
        <v>270</v>
      </c>
      <c r="F156" s="466" t="s">
        <v>270</v>
      </c>
      <c r="G156" s="466" t="s">
        <v>270</v>
      </c>
      <c r="H156" s="295">
        <v>100</v>
      </c>
      <c r="I156" s="295">
        <f>H156</f>
        <v>100</v>
      </c>
    </row>
    <row r="157" ht="12.75">
      <c r="A157" s="22"/>
    </row>
    <row r="158" spans="1:9" ht="30.75" customHeight="1">
      <c r="A158" s="444" t="s">
        <v>27</v>
      </c>
      <c r="B158" s="444"/>
      <c r="C158" s="444"/>
      <c r="D158" s="444"/>
      <c r="E158" s="444"/>
      <c r="F158" s="444"/>
      <c r="G158" s="444"/>
      <c r="H158" s="444"/>
      <c r="I158" s="444"/>
    </row>
    <row r="159" spans="1:9" ht="15">
      <c r="A159" s="446"/>
      <c r="B159" s="446"/>
      <c r="C159" s="446"/>
      <c r="D159" s="446"/>
      <c r="E159" s="446"/>
      <c r="F159" s="446"/>
      <c r="G159" s="446"/>
      <c r="H159" s="446"/>
      <c r="I159" s="446"/>
    </row>
    <row r="160" spans="1:9" ht="15">
      <c r="A160" s="446"/>
      <c r="B160" s="446"/>
      <c r="C160" s="446"/>
      <c r="D160" s="446"/>
      <c r="E160" s="446"/>
      <c r="F160" s="446"/>
      <c r="G160" s="446"/>
      <c r="H160" s="446"/>
      <c r="I160" s="446"/>
    </row>
    <row r="161" spans="1:9" ht="15">
      <c r="A161" s="442" t="s">
        <v>210</v>
      </c>
      <c r="B161" s="442"/>
      <c r="C161" s="442"/>
      <c r="D161" s="442"/>
      <c r="E161" s="442"/>
      <c r="F161" s="442"/>
      <c r="G161" s="442"/>
      <c r="H161" s="442"/>
      <c r="I161" s="442"/>
    </row>
    <row r="162" ht="12.75">
      <c r="I162" s="2" t="s">
        <v>4</v>
      </c>
    </row>
    <row r="163" spans="1:9" s="19" customFormat="1" ht="12.75">
      <c r="A163" s="443" t="s">
        <v>3</v>
      </c>
      <c r="B163" s="443"/>
      <c r="C163" s="23"/>
      <c r="D163" s="18"/>
      <c r="E163" s="18"/>
      <c r="F163" s="18"/>
      <c r="G163" s="18"/>
      <c r="H163" s="443"/>
      <c r="I163" s="443"/>
    </row>
    <row r="164" ht="12.75">
      <c r="A164" s="3"/>
    </row>
    <row r="165" spans="1:9" ht="30.75" customHeight="1">
      <c r="A165" s="444" t="s">
        <v>211</v>
      </c>
      <c r="B165" s="444"/>
      <c r="C165" s="444"/>
      <c r="D165" s="444"/>
      <c r="E165" s="444"/>
      <c r="F165" s="444"/>
      <c r="G165" s="444"/>
      <c r="H165" s="444"/>
      <c r="I165" s="444"/>
    </row>
    <row r="166" ht="12.75">
      <c r="I166" s="2" t="s">
        <v>4</v>
      </c>
    </row>
    <row r="167" spans="1:9" ht="36.75" customHeight="1">
      <c r="A167" s="441" t="s">
        <v>23</v>
      </c>
      <c r="B167" s="441"/>
      <c r="C167" s="441" t="s">
        <v>1</v>
      </c>
      <c r="D167" s="441" t="s">
        <v>7</v>
      </c>
      <c r="E167" s="441"/>
      <c r="F167" s="441" t="s">
        <v>178</v>
      </c>
      <c r="G167" s="441"/>
      <c r="H167" s="441" t="s">
        <v>212</v>
      </c>
      <c r="I167" s="441"/>
    </row>
    <row r="168" spans="1:9" ht="36" customHeight="1">
      <c r="A168" s="441"/>
      <c r="B168" s="441"/>
      <c r="C168" s="441"/>
      <c r="D168" s="14" t="s">
        <v>28</v>
      </c>
      <c r="E168" s="14" t="s">
        <v>36</v>
      </c>
      <c r="F168" s="14" t="s">
        <v>28</v>
      </c>
      <c r="G168" s="14" t="s">
        <v>36</v>
      </c>
      <c r="H168" s="441"/>
      <c r="I168" s="441"/>
    </row>
    <row r="169" spans="1:9" ht="13.5" thickBot="1">
      <c r="A169" s="445">
        <v>1</v>
      </c>
      <c r="B169" s="445"/>
      <c r="C169" s="17">
        <v>2</v>
      </c>
      <c r="D169" s="16">
        <v>3</v>
      </c>
      <c r="E169" s="16">
        <v>4</v>
      </c>
      <c r="F169" s="16">
        <v>5</v>
      </c>
      <c r="G169" s="16">
        <v>6</v>
      </c>
      <c r="H169" s="445">
        <v>7</v>
      </c>
      <c r="I169" s="445"/>
    </row>
    <row r="170" spans="1:9" ht="13.5" thickTop="1">
      <c r="A170" s="447"/>
      <c r="B170" s="447"/>
      <c r="C170" s="15"/>
      <c r="D170" s="25"/>
      <c r="E170" s="25"/>
      <c r="F170" s="25"/>
      <c r="G170" s="25"/>
      <c r="H170" s="440"/>
      <c r="I170" s="440"/>
    </row>
    <row r="171" spans="1:9" ht="12.75">
      <c r="A171" s="402"/>
      <c r="B171" s="402"/>
      <c r="C171" s="12"/>
      <c r="D171" s="11"/>
      <c r="E171" s="11"/>
      <c r="F171" s="11"/>
      <c r="G171" s="11"/>
      <c r="H171" s="427"/>
      <c r="I171" s="427"/>
    </row>
    <row r="172" spans="1:9" ht="12.75">
      <c r="A172" s="402"/>
      <c r="B172" s="402"/>
      <c r="C172" s="12"/>
      <c r="D172" s="11"/>
      <c r="E172" s="11"/>
      <c r="F172" s="11"/>
      <c r="G172" s="11"/>
      <c r="H172" s="427"/>
      <c r="I172" s="427"/>
    </row>
    <row r="173" spans="1:9" ht="12.75">
      <c r="A173" s="402"/>
      <c r="B173" s="402"/>
      <c r="C173" s="12"/>
      <c r="D173" s="11"/>
      <c r="E173" s="11"/>
      <c r="F173" s="11"/>
      <c r="G173" s="11"/>
      <c r="H173" s="427"/>
      <c r="I173" s="427"/>
    </row>
    <row r="174" spans="1:9" ht="12.75">
      <c r="A174" s="402"/>
      <c r="B174" s="402"/>
      <c r="C174" s="12"/>
      <c r="D174" s="11"/>
      <c r="E174" s="11"/>
      <c r="F174" s="11"/>
      <c r="G174" s="11"/>
      <c r="H174" s="427"/>
      <c r="I174" s="427"/>
    </row>
    <row r="175" ht="15">
      <c r="A175" s="1"/>
    </row>
    <row r="176" spans="1:9" ht="14.25" customHeight="1">
      <c r="A176" s="444" t="s">
        <v>25</v>
      </c>
      <c r="B176" s="444"/>
      <c r="C176" s="444"/>
      <c r="D176" s="444"/>
      <c r="E176" s="444"/>
      <c r="F176" s="444"/>
      <c r="G176" s="444"/>
      <c r="H176" s="444"/>
      <c r="I176" s="444"/>
    </row>
    <row r="177" spans="1:9" ht="72.75" customHeight="1">
      <c r="A177" s="14" t="s">
        <v>20</v>
      </c>
      <c r="B177" s="8" t="s">
        <v>0</v>
      </c>
      <c r="C177" s="14" t="s">
        <v>1</v>
      </c>
      <c r="D177" s="14" t="s">
        <v>14</v>
      </c>
      <c r="E177" s="14" t="s">
        <v>15</v>
      </c>
      <c r="F177" s="14" t="s">
        <v>29</v>
      </c>
      <c r="G177" s="14" t="s">
        <v>30</v>
      </c>
      <c r="H177" s="14" t="s">
        <v>31</v>
      </c>
      <c r="I177" s="14" t="s">
        <v>32</v>
      </c>
    </row>
    <row r="178" spans="1:9" ht="13.5" thickBot="1">
      <c r="A178" s="17">
        <v>1</v>
      </c>
      <c r="B178" s="17">
        <v>2</v>
      </c>
      <c r="C178" s="16">
        <v>3</v>
      </c>
      <c r="D178" s="16">
        <v>4</v>
      </c>
      <c r="E178" s="16">
        <v>5</v>
      </c>
      <c r="F178" s="16">
        <v>6</v>
      </c>
      <c r="G178" s="16">
        <v>7</v>
      </c>
      <c r="H178" s="16">
        <v>8</v>
      </c>
      <c r="I178" s="16">
        <v>9</v>
      </c>
    </row>
    <row r="179" spans="1:9" ht="13.5" hidden="1" thickTop="1">
      <c r="A179" s="24"/>
      <c r="B179" s="26"/>
      <c r="C179" s="26" t="s">
        <v>10</v>
      </c>
      <c r="D179" s="24"/>
      <c r="E179" s="24"/>
      <c r="F179" s="24"/>
      <c r="G179" s="24"/>
      <c r="H179" s="24"/>
      <c r="I179" s="24"/>
    </row>
    <row r="180" spans="1:9" ht="13.5" hidden="1" thickTop="1">
      <c r="A180" s="18"/>
      <c r="B180" s="12"/>
      <c r="C180" s="12" t="s">
        <v>26</v>
      </c>
      <c r="D180" s="18"/>
      <c r="E180" s="18"/>
      <c r="F180" s="18"/>
      <c r="G180" s="18"/>
      <c r="H180" s="18"/>
      <c r="I180" s="18"/>
    </row>
    <row r="181" spans="1:9" ht="13.5" hidden="1" thickTop="1">
      <c r="A181" s="18"/>
      <c r="B181" s="12"/>
      <c r="C181" s="12" t="s">
        <v>16</v>
      </c>
      <c r="D181" s="18"/>
      <c r="E181" s="18"/>
      <c r="F181" s="18"/>
      <c r="G181" s="18"/>
      <c r="H181" s="18"/>
      <c r="I181" s="18"/>
    </row>
    <row r="182" spans="1:9" ht="13.5" hidden="1" thickTop="1">
      <c r="A182" s="18"/>
      <c r="B182" s="12"/>
      <c r="C182" s="12" t="s">
        <v>2</v>
      </c>
      <c r="D182" s="18"/>
      <c r="E182" s="18"/>
      <c r="F182" s="18"/>
      <c r="G182" s="18"/>
      <c r="H182" s="18"/>
      <c r="I182" s="18"/>
    </row>
    <row r="183" spans="1:9" ht="13.5" hidden="1" thickTop="1">
      <c r="A183" s="18"/>
      <c r="B183" s="12"/>
      <c r="C183" s="12" t="s">
        <v>17</v>
      </c>
      <c r="D183" s="18"/>
      <c r="E183" s="18"/>
      <c r="F183" s="18"/>
      <c r="G183" s="18"/>
      <c r="H183" s="18"/>
      <c r="I183" s="18"/>
    </row>
    <row r="184" spans="1:9" ht="13.5" hidden="1" thickTop="1">
      <c r="A184" s="18"/>
      <c r="B184" s="12"/>
      <c r="C184" s="12" t="s">
        <v>2</v>
      </c>
      <c r="D184" s="18"/>
      <c r="E184" s="18"/>
      <c r="F184" s="18"/>
      <c r="G184" s="18"/>
      <c r="H184" s="18"/>
      <c r="I184" s="18"/>
    </row>
    <row r="185" spans="1:9" ht="13.5" hidden="1" thickTop="1">
      <c r="A185" s="18"/>
      <c r="B185" s="12"/>
      <c r="C185" s="12" t="s">
        <v>18</v>
      </c>
      <c r="D185" s="18"/>
      <c r="E185" s="18"/>
      <c r="F185" s="18"/>
      <c r="G185" s="18"/>
      <c r="H185" s="18"/>
      <c r="I185" s="18"/>
    </row>
    <row r="186" spans="1:9" ht="13.5" hidden="1" thickTop="1">
      <c r="A186" s="18"/>
      <c r="B186" s="12"/>
      <c r="C186" s="12" t="s">
        <v>33</v>
      </c>
      <c r="D186" s="18"/>
      <c r="E186" s="18"/>
      <c r="F186" s="18"/>
      <c r="G186" s="18"/>
      <c r="H186" s="18"/>
      <c r="I186" s="18"/>
    </row>
    <row r="187" spans="1:9" ht="13.5" hidden="1" thickTop="1">
      <c r="A187" s="18"/>
      <c r="B187" s="12"/>
      <c r="C187" s="12" t="s">
        <v>19</v>
      </c>
      <c r="D187" s="18"/>
      <c r="E187" s="18"/>
      <c r="F187" s="18"/>
      <c r="G187" s="18"/>
      <c r="H187" s="18"/>
      <c r="I187" s="18"/>
    </row>
    <row r="188" spans="1:9" ht="13.5" hidden="1" thickTop="1">
      <c r="A188" s="18"/>
      <c r="B188" s="12"/>
      <c r="C188" s="12" t="s">
        <v>2</v>
      </c>
      <c r="D188" s="18"/>
      <c r="E188" s="18"/>
      <c r="F188" s="18"/>
      <c r="G188" s="18"/>
      <c r="H188" s="18"/>
      <c r="I188" s="18"/>
    </row>
    <row r="189" spans="1:9" ht="13.5" hidden="1" thickTop="1">
      <c r="A189" s="18"/>
      <c r="B189" s="13"/>
      <c r="C189" s="13" t="s">
        <v>11</v>
      </c>
      <c r="D189" s="18"/>
      <c r="E189" s="18"/>
      <c r="F189" s="18"/>
      <c r="G189" s="18"/>
      <c r="H189" s="18"/>
      <c r="I189" s="18"/>
    </row>
    <row r="190" spans="1:9" ht="13.5" thickTop="1">
      <c r="A190" s="18"/>
      <c r="B190" s="12"/>
      <c r="C190" s="12" t="s">
        <v>2</v>
      </c>
      <c r="D190" s="18"/>
      <c r="E190" s="18"/>
      <c r="F190" s="18"/>
      <c r="G190" s="18"/>
      <c r="H190" s="18"/>
      <c r="I190" s="18"/>
    </row>
    <row r="191" ht="12.75">
      <c r="A191" s="22"/>
    </row>
    <row r="192" spans="1:9" ht="30.75" customHeight="1">
      <c r="A192" s="444" t="s">
        <v>34</v>
      </c>
      <c r="B192" s="444"/>
      <c r="C192" s="444"/>
      <c r="D192" s="444"/>
      <c r="E192" s="444"/>
      <c r="F192" s="444"/>
      <c r="G192" s="444"/>
      <c r="H192" s="444"/>
      <c r="I192" s="444"/>
    </row>
    <row r="193" spans="1:9" ht="15">
      <c r="A193" s="446"/>
      <c r="B193" s="446"/>
      <c r="C193" s="446"/>
      <c r="D193" s="446"/>
      <c r="E193" s="446"/>
      <c r="F193" s="446"/>
      <c r="G193" s="446"/>
      <c r="H193" s="446"/>
      <c r="I193" s="446"/>
    </row>
    <row r="194" spans="1:9" ht="15">
      <c r="A194" s="442" t="s">
        <v>213</v>
      </c>
      <c r="B194" s="442"/>
      <c r="C194" s="442"/>
      <c r="D194" s="442"/>
      <c r="E194" s="442"/>
      <c r="F194" s="442"/>
      <c r="G194" s="442"/>
      <c r="H194" s="442"/>
      <c r="I194" s="442"/>
    </row>
    <row r="195" spans="1:9" ht="12.75">
      <c r="A195" s="2" t="s">
        <v>35</v>
      </c>
      <c r="I195" s="2" t="s">
        <v>4</v>
      </c>
    </row>
    <row r="196" spans="1:9" s="19" customFormat="1" ht="12.75">
      <c r="A196" s="443" t="s">
        <v>3</v>
      </c>
      <c r="B196" s="443"/>
      <c r="C196" s="23"/>
      <c r="D196" s="18"/>
      <c r="E196" s="18"/>
      <c r="F196" s="18"/>
      <c r="G196" s="18"/>
      <c r="H196" s="443"/>
      <c r="I196" s="443"/>
    </row>
    <row r="197" ht="12.75">
      <c r="A197" s="4"/>
    </row>
    <row r="198" ht="12.75">
      <c r="A198" s="4"/>
    </row>
    <row r="199" spans="1:9" ht="18.75" customHeight="1">
      <c r="A199" s="393" t="s">
        <v>159</v>
      </c>
      <c r="B199" s="393"/>
      <c r="C199" s="393"/>
      <c r="E199" s="392" t="s">
        <v>8</v>
      </c>
      <c r="F199" s="392"/>
      <c r="H199" s="392" t="s">
        <v>108</v>
      </c>
      <c r="I199" s="392"/>
    </row>
    <row r="200" spans="1:9" ht="15">
      <c r="A200" s="5"/>
      <c r="B200" s="5"/>
      <c r="E200" s="431" t="s">
        <v>5</v>
      </c>
      <c r="F200" s="431"/>
      <c r="H200" s="431" t="s">
        <v>6</v>
      </c>
      <c r="I200" s="431"/>
    </row>
    <row r="201" spans="1:8" ht="12.75" customHeight="1">
      <c r="A201" s="10"/>
      <c r="B201" s="10"/>
      <c r="E201" s="9"/>
      <c r="H201" s="9"/>
    </row>
    <row r="202" spans="1:9" ht="18.75" customHeight="1">
      <c r="A202" s="393" t="s">
        <v>107</v>
      </c>
      <c r="B202" s="393"/>
      <c r="C202" s="393"/>
      <c r="E202" s="392" t="s">
        <v>8</v>
      </c>
      <c r="F202" s="392"/>
      <c r="H202" s="392" t="s">
        <v>109</v>
      </c>
      <c r="I202" s="392"/>
    </row>
    <row r="203" spans="1:9" ht="15">
      <c r="A203" s="5"/>
      <c r="E203" s="431" t="s">
        <v>5</v>
      </c>
      <c r="F203" s="431"/>
      <c r="H203" s="431" t="s">
        <v>6</v>
      </c>
      <c r="I203" s="431"/>
    </row>
    <row r="204" ht="12.75">
      <c r="A204" s="4"/>
    </row>
    <row r="205" ht="12.75">
      <c r="A205" s="4"/>
    </row>
  </sheetData>
  <sheetProtection/>
  <mergeCells count="193">
    <mergeCell ref="A1:I1"/>
    <mergeCell ref="A3:I3"/>
    <mergeCell ref="A4:I4"/>
    <mergeCell ref="B5:J5"/>
    <mergeCell ref="B6:J6"/>
    <mergeCell ref="B12:I12"/>
    <mergeCell ref="A14:B15"/>
    <mergeCell ref="C14:C15"/>
    <mergeCell ref="D14:D15"/>
    <mergeCell ref="E14:E15"/>
    <mergeCell ref="F14:G14"/>
    <mergeCell ref="H14:I15"/>
    <mergeCell ref="A16:B16"/>
    <mergeCell ref="H16:I16"/>
    <mergeCell ref="H17:I17"/>
    <mergeCell ref="H19:I19"/>
    <mergeCell ref="H20:I20"/>
    <mergeCell ref="H21:I21"/>
    <mergeCell ref="H18:I18"/>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71:I71"/>
    <mergeCell ref="H72:I72"/>
    <mergeCell ref="H73:I73"/>
    <mergeCell ref="H74:I74"/>
    <mergeCell ref="A133:I133"/>
    <mergeCell ref="H84:I84"/>
    <mergeCell ref="H85:I85"/>
    <mergeCell ref="H86:I86"/>
    <mergeCell ref="H87:I87"/>
    <mergeCell ref="A158:I158"/>
    <mergeCell ref="A159:I159"/>
    <mergeCell ref="A160:I160"/>
    <mergeCell ref="A161:I161"/>
    <mergeCell ref="A163:B163"/>
    <mergeCell ref="H163:I163"/>
    <mergeCell ref="A165:I165"/>
    <mergeCell ref="A167:B168"/>
    <mergeCell ref="C167:C168"/>
    <mergeCell ref="D167:E167"/>
    <mergeCell ref="F167:G167"/>
    <mergeCell ref="H167:I168"/>
    <mergeCell ref="A169:B169"/>
    <mergeCell ref="H169:I169"/>
    <mergeCell ref="A170:B170"/>
    <mergeCell ref="H170:I170"/>
    <mergeCell ref="A171:B171"/>
    <mergeCell ref="H171:I171"/>
    <mergeCell ref="A172:B172"/>
    <mergeCell ref="H172:I172"/>
    <mergeCell ref="A173:B173"/>
    <mergeCell ref="H173:I173"/>
    <mergeCell ref="A174:B174"/>
    <mergeCell ref="H174:I174"/>
    <mergeCell ref="A176:I176"/>
    <mergeCell ref="A192:I192"/>
    <mergeCell ref="A193:I193"/>
    <mergeCell ref="A194:I194"/>
    <mergeCell ref="A196:B196"/>
    <mergeCell ref="H196:I196"/>
    <mergeCell ref="A199:C199"/>
    <mergeCell ref="E199:F199"/>
    <mergeCell ref="H199:I199"/>
    <mergeCell ref="E200:F200"/>
    <mergeCell ref="H200:I200"/>
    <mergeCell ref="A202:C202"/>
    <mergeCell ref="E202:F202"/>
    <mergeCell ref="H202:I202"/>
    <mergeCell ref="E203:F203"/>
    <mergeCell ref="H203:I203"/>
    <mergeCell ref="H76:I76"/>
    <mergeCell ref="H77:I77"/>
    <mergeCell ref="H78:I78"/>
    <mergeCell ref="H79:I79"/>
    <mergeCell ref="H80:I80"/>
    <mergeCell ref="H81:I81"/>
    <mergeCell ref="H82:I82"/>
    <mergeCell ref="H83:I83"/>
    <mergeCell ref="H88:I88"/>
    <mergeCell ref="H89:I89"/>
    <mergeCell ref="H90:I90"/>
    <mergeCell ref="H91:I91"/>
    <mergeCell ref="H92:I92"/>
    <mergeCell ref="H93:I93"/>
    <mergeCell ref="H121:I121"/>
    <mergeCell ref="H94:I94"/>
    <mergeCell ref="H95:I95"/>
    <mergeCell ref="H96:I96"/>
    <mergeCell ref="H97:I97"/>
    <mergeCell ref="H98:I98"/>
    <mergeCell ref="H99:I99"/>
    <mergeCell ref="H100:I100"/>
    <mergeCell ref="H101:I101"/>
    <mergeCell ref="H102:I102"/>
    <mergeCell ref="H103:I103"/>
    <mergeCell ref="H104:I104"/>
    <mergeCell ref="H105:I105"/>
    <mergeCell ref="E139:G139"/>
    <mergeCell ref="E140:G140"/>
    <mergeCell ref="C137:I137"/>
    <mergeCell ref="H106:I106"/>
    <mergeCell ref="H107:I107"/>
    <mergeCell ref="H108:I108"/>
    <mergeCell ref="H109:I109"/>
    <mergeCell ref="H112:I112"/>
    <mergeCell ref="H113:I113"/>
    <mergeCell ref="H114:I114"/>
    <mergeCell ref="H115:I115"/>
    <mergeCell ref="H116:I116"/>
    <mergeCell ref="H117:I117"/>
    <mergeCell ref="E155:G155"/>
    <mergeCell ref="E156:G156"/>
    <mergeCell ref="E147:G147"/>
    <mergeCell ref="E149:G149"/>
    <mergeCell ref="E150:G150"/>
    <mergeCell ref="E151:G151"/>
    <mergeCell ref="E152:G152"/>
    <mergeCell ref="E153:G153"/>
    <mergeCell ref="C148:I148"/>
    <mergeCell ref="H130:I130"/>
    <mergeCell ref="E154:G154"/>
    <mergeCell ref="E141:G141"/>
    <mergeCell ref="E142:G142"/>
    <mergeCell ref="E143:G143"/>
    <mergeCell ref="E144:G144"/>
    <mergeCell ref="H131:I131"/>
    <mergeCell ref="H119:I119"/>
    <mergeCell ref="H75:I75"/>
    <mergeCell ref="H124:I124"/>
    <mergeCell ref="H125:I125"/>
    <mergeCell ref="H126:I126"/>
    <mergeCell ref="H127:I127"/>
    <mergeCell ref="H118:I118"/>
    <mergeCell ref="H120:I120"/>
    <mergeCell ref="H110:I110"/>
    <mergeCell ref="H111:I111"/>
    <mergeCell ref="H122:I122"/>
    <mergeCell ref="H123:I123"/>
    <mergeCell ref="E145:G145"/>
    <mergeCell ref="E146:G146"/>
    <mergeCell ref="E136:G136"/>
    <mergeCell ref="H129:I129"/>
    <mergeCell ref="E135:G135"/>
    <mergeCell ref="H128:I128"/>
    <mergeCell ref="E134:G134"/>
    <mergeCell ref="C138:I138"/>
  </mergeCells>
  <printOptions horizontalCentered="1"/>
  <pageMargins left="0.2362204724409449" right="0.15748031496062992" top="0.1968503937007874" bottom="0.15748031496062992" header="0.1968503937007874" footer="0.11811023622047245"/>
  <pageSetup fitToHeight="0" fitToWidth="1"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J234"/>
  <sheetViews>
    <sheetView view="pageBreakPreview" zoomScale="90" zoomScaleSheetLayoutView="90" zoomScalePageLayoutView="0" workbookViewId="0" topLeftCell="B140">
      <selection activeCell="I166" sqref="I166"/>
    </sheetView>
  </sheetViews>
  <sheetFormatPr defaultColWidth="9.00390625" defaultRowHeight="12.75"/>
  <cols>
    <col min="1" max="1" width="6.375" style="0" hidden="1" customWidth="1"/>
    <col min="2" max="2" width="7.625" style="0" customWidth="1"/>
    <col min="3" max="3" width="84.50390625" style="0" customWidth="1"/>
    <col min="4" max="4" width="8.375" style="0" customWidth="1"/>
    <col min="5" max="6" width="8.50390625" style="0" customWidth="1"/>
    <col min="7" max="7" width="11.375" style="0" customWidth="1"/>
    <col min="8" max="8" width="32.50390625" style="0" customWidth="1"/>
    <col min="9" max="9" width="32.375" style="0" customWidth="1"/>
    <col min="10" max="10" width="10.50390625" style="0" customWidth="1"/>
  </cols>
  <sheetData>
    <row r="1" spans="1:9" s="60" customFormat="1" ht="21" thickBot="1">
      <c r="A1" s="432" t="s">
        <v>217</v>
      </c>
      <c r="B1" s="432"/>
      <c r="C1" s="432"/>
      <c r="D1" s="432"/>
      <c r="E1" s="432"/>
      <c r="F1" s="432"/>
      <c r="G1" s="432"/>
      <c r="H1" s="432"/>
      <c r="I1" s="432"/>
    </row>
    <row r="2" s="60" customFormat="1" ht="9.75" customHeight="1" thickTop="1">
      <c r="A2" s="70"/>
    </row>
    <row r="3" spans="1:9" s="60" customFormat="1" ht="15">
      <c r="A3" s="433" t="s">
        <v>160</v>
      </c>
      <c r="B3" s="433"/>
      <c r="C3" s="433"/>
      <c r="D3" s="433"/>
      <c r="E3" s="433"/>
      <c r="F3" s="433"/>
      <c r="G3" s="433"/>
      <c r="H3" s="433"/>
      <c r="I3" s="433"/>
    </row>
    <row r="4" spans="1:9" s="60" customFormat="1" ht="12" customHeight="1">
      <c r="A4" s="434" t="s">
        <v>206</v>
      </c>
      <c r="B4" s="434"/>
      <c r="C4" s="434"/>
      <c r="D4" s="434"/>
      <c r="E4" s="434"/>
      <c r="F4" s="434"/>
      <c r="G4" s="434"/>
      <c r="H4" s="434"/>
      <c r="I4" s="434"/>
    </row>
    <row r="5" spans="1:10" s="60" customFormat="1" ht="12" customHeight="1">
      <c r="A5" s="112"/>
      <c r="B5" s="433" t="s">
        <v>205</v>
      </c>
      <c r="C5" s="433"/>
      <c r="D5" s="433"/>
      <c r="E5" s="433"/>
      <c r="F5" s="433"/>
      <c r="G5" s="433"/>
      <c r="H5" s="433"/>
      <c r="I5" s="433"/>
      <c r="J5" s="433"/>
    </row>
    <row r="6" spans="1:10" s="60" customFormat="1" ht="12" customHeight="1">
      <c r="A6" s="112"/>
      <c r="B6" s="434" t="s">
        <v>207</v>
      </c>
      <c r="C6" s="434"/>
      <c r="D6" s="434"/>
      <c r="E6" s="434"/>
      <c r="F6" s="434"/>
      <c r="G6" s="434"/>
      <c r="H6" s="434"/>
      <c r="I6" s="434"/>
      <c r="J6" s="434"/>
    </row>
    <row r="7" spans="1:9" s="60" customFormat="1" ht="12" customHeight="1">
      <c r="A7" s="112"/>
      <c r="B7" s="119"/>
      <c r="C7" s="116"/>
      <c r="D7" s="116"/>
      <c r="E7" s="116"/>
      <c r="F7" s="116"/>
      <c r="G7" s="116"/>
      <c r="H7" s="116"/>
      <c r="I7" s="116"/>
    </row>
    <row r="8" spans="1:9" s="60" customFormat="1" ht="12" customHeight="1">
      <c r="A8" s="112"/>
      <c r="B8" s="115" t="s">
        <v>238</v>
      </c>
      <c r="C8" s="116"/>
      <c r="D8" s="116"/>
      <c r="E8" s="116"/>
      <c r="F8" s="116"/>
      <c r="G8" s="116"/>
      <c r="H8" s="116"/>
      <c r="I8" s="116"/>
    </row>
    <row r="9" spans="1:9" s="60" customFormat="1" ht="12" customHeight="1">
      <c r="A9" s="112"/>
      <c r="B9" s="117"/>
      <c r="C9" s="118" t="s">
        <v>201</v>
      </c>
      <c r="D9" s="116"/>
      <c r="E9" s="120" t="s">
        <v>202</v>
      </c>
      <c r="F9" s="116"/>
      <c r="H9" s="116"/>
      <c r="I9" s="116"/>
    </row>
    <row r="10" spans="1:9" s="60" customFormat="1" ht="12" customHeight="1">
      <c r="A10" s="112"/>
      <c r="B10" s="121"/>
      <c r="C10" s="121"/>
      <c r="D10" s="121"/>
      <c r="E10" s="121"/>
      <c r="F10" s="121"/>
      <c r="G10" s="121"/>
      <c r="H10" s="121"/>
      <c r="I10" s="121"/>
    </row>
    <row r="11" spans="1:9" s="60" customFormat="1" ht="12" customHeight="1">
      <c r="A11" s="112"/>
      <c r="B11" s="115" t="s">
        <v>203</v>
      </c>
      <c r="C11" s="115"/>
      <c r="D11" s="115"/>
      <c r="E11" s="115"/>
      <c r="F11" s="115"/>
      <c r="G11" s="115"/>
      <c r="H11" s="115"/>
      <c r="I11" s="115"/>
    </row>
    <row r="12" spans="1:9" s="60" customFormat="1" ht="12" customHeight="1">
      <c r="A12" s="112"/>
      <c r="B12" s="400" t="s">
        <v>204</v>
      </c>
      <c r="C12" s="400"/>
      <c r="D12" s="400"/>
      <c r="E12" s="400"/>
      <c r="F12" s="400"/>
      <c r="G12" s="400"/>
      <c r="H12" s="400"/>
      <c r="I12" s="400"/>
    </row>
    <row r="13" s="60" customFormat="1" ht="12.75">
      <c r="I13" s="71" t="s">
        <v>4</v>
      </c>
    </row>
    <row r="14" spans="1:9" s="60" customFormat="1" ht="12.75">
      <c r="A14" s="417" t="s">
        <v>23</v>
      </c>
      <c r="B14" s="417"/>
      <c r="C14" s="417" t="s">
        <v>1</v>
      </c>
      <c r="D14" s="417" t="s">
        <v>175</v>
      </c>
      <c r="E14" s="417" t="s">
        <v>176</v>
      </c>
      <c r="F14" s="417" t="s">
        <v>177</v>
      </c>
      <c r="G14" s="417"/>
      <c r="H14" s="417" t="s">
        <v>208</v>
      </c>
      <c r="I14" s="417"/>
    </row>
    <row r="15" spans="1:9" s="60" customFormat="1" ht="27" customHeight="1">
      <c r="A15" s="417"/>
      <c r="B15" s="417"/>
      <c r="C15" s="417"/>
      <c r="D15" s="417"/>
      <c r="E15" s="417"/>
      <c r="F15" s="111" t="s">
        <v>24</v>
      </c>
      <c r="G15" s="111" t="s">
        <v>36</v>
      </c>
      <c r="H15" s="417"/>
      <c r="I15" s="417"/>
    </row>
    <row r="16" spans="1:9" s="60" customFormat="1" ht="13.5" thickBot="1">
      <c r="A16" s="415">
        <v>1</v>
      </c>
      <c r="B16" s="415"/>
      <c r="C16" s="113">
        <v>2</v>
      </c>
      <c r="D16" s="113">
        <v>3</v>
      </c>
      <c r="E16" s="113">
        <v>4</v>
      </c>
      <c r="F16" s="113">
        <v>5</v>
      </c>
      <c r="G16" s="113">
        <v>6</v>
      </c>
      <c r="H16" s="416">
        <v>7</v>
      </c>
      <c r="I16" s="416"/>
    </row>
    <row r="17" spans="2:9" s="165" customFormat="1" ht="13.5" thickTop="1">
      <c r="B17" s="169">
        <f>'2019-3 СВОД'!B301</f>
        <v>1113130</v>
      </c>
      <c r="C17" s="169" t="str">
        <f>'2019-3 СВОД'!C301</f>
        <v>Програма Реалізація державної політики у молодіжній сфері</v>
      </c>
      <c r="D17" s="166">
        <f>D18+D75</f>
        <v>3412.67</v>
      </c>
      <c r="E17" s="166">
        <f>E18+E75</f>
        <v>7232.200000000001</v>
      </c>
      <c r="F17" s="166">
        <f>F18+F75</f>
        <v>4703.5</v>
      </c>
      <c r="G17" s="166">
        <f>G18+G75</f>
        <v>3128</v>
      </c>
      <c r="H17" s="428"/>
      <c r="I17" s="428"/>
    </row>
    <row r="18" spans="2:9" s="156" customFormat="1" ht="26.25">
      <c r="B18" s="154">
        <f>'2019-3 СВОД'!B302</f>
        <v>1113131</v>
      </c>
      <c r="C18" s="154" t="str">
        <f>'2019-3 СВОД'!C302</f>
        <v>Підпрограма Здійснення заходів та реалізація проектів на виконання Державної цільової програми "Молодь України"</v>
      </c>
      <c r="D18" s="124">
        <f>D19+D54</f>
        <v>1128.47</v>
      </c>
      <c r="E18" s="124">
        <f>E19+E54</f>
        <v>1480.4</v>
      </c>
      <c r="F18" s="124">
        <f>F19+F54</f>
        <v>1703.6000000000001</v>
      </c>
      <c r="G18" s="124">
        <f>G19+G54</f>
        <v>0</v>
      </c>
      <c r="H18" s="464"/>
      <c r="I18" s="465"/>
    </row>
    <row r="19" spans="1:9" ht="12.75">
      <c r="A19" s="6"/>
      <c r="B19" s="27">
        <v>2000</v>
      </c>
      <c r="C19" s="28" t="s">
        <v>37</v>
      </c>
      <c r="D19" s="33">
        <f>D20+D25+D42+D45+D49+D53</f>
        <v>1128.47</v>
      </c>
      <c r="E19" s="33">
        <f>E20+E25+E42+E45+E49+E53</f>
        <v>1480.4</v>
      </c>
      <c r="F19" s="33">
        <f>F20+F25+F42+F45+F49+F53</f>
        <v>1703.6000000000001</v>
      </c>
      <c r="G19" s="33">
        <f>G20+G25+G42+G45+G49+G53</f>
        <v>0</v>
      </c>
      <c r="H19" s="402"/>
      <c r="I19" s="402"/>
    </row>
    <row r="20" spans="1:9" ht="12.75" customHeight="1" hidden="1">
      <c r="A20" s="6"/>
      <c r="B20" s="29">
        <v>2100</v>
      </c>
      <c r="C20" s="30" t="s">
        <v>38</v>
      </c>
      <c r="D20" s="35">
        <f>D21+D24</f>
        <v>0</v>
      </c>
      <c r="E20" s="35">
        <f>E21+E24</f>
        <v>0</v>
      </c>
      <c r="F20" s="35">
        <f>F21+F24</f>
        <v>0</v>
      </c>
      <c r="G20" s="35">
        <f>G21+G24</f>
        <v>0</v>
      </c>
      <c r="H20" s="402"/>
      <c r="I20" s="402"/>
    </row>
    <row r="21" spans="1:9" ht="12.75" customHeight="1" hidden="1">
      <c r="A21" s="6"/>
      <c r="B21" s="29">
        <v>2110</v>
      </c>
      <c r="C21" s="30" t="s">
        <v>39</v>
      </c>
      <c r="D21" s="35">
        <f>D22+D23</f>
        <v>0</v>
      </c>
      <c r="E21" s="35">
        <f>E22+E23</f>
        <v>0</v>
      </c>
      <c r="F21" s="35">
        <f>F22+F23</f>
        <v>0</v>
      </c>
      <c r="G21" s="35">
        <f>G22+G23</f>
        <v>0</v>
      </c>
      <c r="H21" s="402"/>
      <c r="I21" s="402"/>
    </row>
    <row r="22" spans="1:9" ht="12.75" customHeight="1" hidden="1">
      <c r="A22" s="6"/>
      <c r="B22" s="29">
        <v>2111</v>
      </c>
      <c r="C22" s="30" t="s">
        <v>42</v>
      </c>
      <c r="D22" s="34">
        <f>'2019-3 СВОД'!D306</f>
        <v>0</v>
      </c>
      <c r="E22" s="34">
        <f>'2019-3 СВОД'!E306</f>
        <v>0</v>
      </c>
      <c r="F22" s="34">
        <f>'2019-3 СВОД'!F306</f>
        <v>0</v>
      </c>
      <c r="G22" s="34">
        <f>'2019-3 СВОД'!G306</f>
        <v>0</v>
      </c>
      <c r="H22" s="402"/>
      <c r="I22" s="402"/>
    </row>
    <row r="23" spans="1:9" ht="12.75" customHeight="1" hidden="1">
      <c r="A23" s="6"/>
      <c r="B23" s="29">
        <v>2112</v>
      </c>
      <c r="C23" s="30" t="s">
        <v>43</v>
      </c>
      <c r="D23" s="34">
        <f>'2019-3 СВОД'!D307</f>
        <v>0</v>
      </c>
      <c r="E23" s="34">
        <f>'2019-3 СВОД'!E307</f>
        <v>0</v>
      </c>
      <c r="F23" s="34">
        <f>'2019-3 СВОД'!F307</f>
        <v>0</v>
      </c>
      <c r="G23" s="34">
        <f>'2019-3 СВОД'!G307</f>
        <v>0</v>
      </c>
      <c r="H23" s="402"/>
      <c r="I23" s="402"/>
    </row>
    <row r="24" spans="1:9" ht="12.75" customHeight="1" hidden="1">
      <c r="A24" s="6"/>
      <c r="B24" s="29">
        <v>2120</v>
      </c>
      <c r="C24" s="30" t="s">
        <v>44</v>
      </c>
      <c r="D24" s="34">
        <f>'2019-3 СВОД'!D308</f>
        <v>0</v>
      </c>
      <c r="E24" s="34">
        <f>'2019-3 СВОД'!E308</f>
        <v>0</v>
      </c>
      <c r="F24" s="34">
        <f>'2019-3 СВОД'!F308</f>
        <v>0</v>
      </c>
      <c r="G24" s="34">
        <f>'2019-3 СВОД'!G308</f>
        <v>0</v>
      </c>
      <c r="H24" s="402"/>
      <c r="I24" s="402"/>
    </row>
    <row r="25" spans="1:9" ht="12.75" customHeight="1">
      <c r="A25" s="6"/>
      <c r="B25" s="27">
        <v>2200</v>
      </c>
      <c r="C25" s="28" t="s">
        <v>45</v>
      </c>
      <c r="D25" s="33">
        <f>SUM(D26:D32)+D39</f>
        <v>1128.47</v>
      </c>
      <c r="E25" s="33">
        <f>SUM(E26:E32)+E39</f>
        <v>1480.4</v>
      </c>
      <c r="F25" s="33">
        <f>SUM(F26:F32)+F39</f>
        <v>1703.6000000000001</v>
      </c>
      <c r="G25" s="33">
        <f>SUM(G26:G32)+G39</f>
        <v>0</v>
      </c>
      <c r="H25" s="402"/>
      <c r="I25" s="402"/>
    </row>
    <row r="26" spans="1:9" ht="12.75">
      <c r="A26" s="6"/>
      <c r="B26" s="29">
        <v>2210</v>
      </c>
      <c r="C26" s="30" t="s">
        <v>46</v>
      </c>
      <c r="D26" s="34">
        <f>'2019-3 СВОД'!D310</f>
        <v>281.36</v>
      </c>
      <c r="E26" s="34">
        <f>'2019-3 СВОД'!E310</f>
        <v>387.7</v>
      </c>
      <c r="F26" s="34">
        <f>'2019-3 СВОД'!F310</f>
        <v>347.7</v>
      </c>
      <c r="G26" s="34">
        <f>'2019-3 СВОД'!G310</f>
        <v>0</v>
      </c>
      <c r="H26" s="402"/>
      <c r="I26" s="402"/>
    </row>
    <row r="27" spans="1:9" ht="12.75" customHeight="1" hidden="1">
      <c r="A27" s="6"/>
      <c r="B27" s="29">
        <v>2220</v>
      </c>
      <c r="C27" s="30" t="s">
        <v>47</v>
      </c>
      <c r="D27" s="34">
        <f>'2019-3 СВОД'!D311</f>
        <v>0</v>
      </c>
      <c r="E27" s="34">
        <f>'2019-3 СВОД'!E311</f>
        <v>0</v>
      </c>
      <c r="F27" s="34">
        <f>'2019-3 СВОД'!F311</f>
        <v>0</v>
      </c>
      <c r="G27" s="34">
        <f>'2019-3 СВОД'!G311</f>
        <v>0</v>
      </c>
      <c r="H27" s="402"/>
      <c r="I27" s="402"/>
    </row>
    <row r="28" spans="1:9" ht="12.75" customHeight="1" hidden="1">
      <c r="A28" s="6"/>
      <c r="B28" s="29">
        <v>2230</v>
      </c>
      <c r="C28" s="30" t="s">
        <v>48</v>
      </c>
      <c r="D28" s="34">
        <f>'2019-3 СВОД'!D312</f>
        <v>0</v>
      </c>
      <c r="E28" s="34">
        <f>'2019-3 СВОД'!E312</f>
        <v>0</v>
      </c>
      <c r="F28" s="34">
        <f>'2019-3 СВОД'!F312</f>
        <v>0</v>
      </c>
      <c r="G28" s="34">
        <f>'2019-3 СВОД'!G312</f>
        <v>0</v>
      </c>
      <c r="H28" s="402"/>
      <c r="I28" s="402"/>
    </row>
    <row r="29" spans="1:9" ht="12.75" customHeight="1">
      <c r="A29" s="6"/>
      <c r="B29" s="29">
        <v>2240</v>
      </c>
      <c r="C29" s="30" t="s">
        <v>49</v>
      </c>
      <c r="D29" s="34">
        <f>'2019-3 СВОД'!D313</f>
        <v>810.32</v>
      </c>
      <c r="E29" s="34">
        <f>'2019-3 СВОД'!E313</f>
        <v>1079.7</v>
      </c>
      <c r="F29" s="34">
        <f>'2019-3 СВОД'!F313</f>
        <v>1355.9</v>
      </c>
      <c r="G29" s="34">
        <f>'2019-3 СВОД'!G313</f>
        <v>0</v>
      </c>
      <c r="H29" s="402"/>
      <c r="I29" s="402"/>
    </row>
    <row r="30" spans="1:9" ht="12.75" customHeight="1">
      <c r="A30" s="6"/>
      <c r="B30" s="29">
        <v>2250</v>
      </c>
      <c r="C30" s="30" t="s">
        <v>50</v>
      </c>
      <c r="D30" s="34">
        <f>'2019-3 СВОД'!D314</f>
        <v>36.79</v>
      </c>
      <c r="E30" s="34">
        <f>'2019-3 СВОД'!E314</f>
        <v>13</v>
      </c>
      <c r="F30" s="34">
        <f>'2019-3 СВОД'!F314</f>
        <v>0</v>
      </c>
      <c r="G30" s="34">
        <f>'2019-3 СВОД'!G314</f>
        <v>0</v>
      </c>
      <c r="H30" s="402"/>
      <c r="I30" s="402"/>
    </row>
    <row r="31" spans="1:9" ht="12.75" customHeight="1" hidden="1">
      <c r="A31" s="6"/>
      <c r="B31" s="29">
        <v>2260</v>
      </c>
      <c r="C31" s="30" t="s">
        <v>51</v>
      </c>
      <c r="D31" s="34">
        <f>'2019-3 СВОД'!D315</f>
        <v>0</v>
      </c>
      <c r="E31" s="34">
        <f>'2019-3 СВОД'!E315</f>
        <v>0</v>
      </c>
      <c r="F31" s="34">
        <f>'2019-3 СВОД'!F315</f>
        <v>0</v>
      </c>
      <c r="G31" s="34">
        <f>'2019-3 СВОД'!G315</f>
        <v>0</v>
      </c>
      <c r="H31" s="402"/>
      <c r="I31" s="402"/>
    </row>
    <row r="32" spans="1:9" ht="12.75" customHeight="1" hidden="1">
      <c r="A32" s="6"/>
      <c r="B32" s="27">
        <v>2270</v>
      </c>
      <c r="C32" s="28" t="s">
        <v>52</v>
      </c>
      <c r="D32" s="33">
        <f>D33+D34+D35+D36+D37+D38</f>
        <v>0</v>
      </c>
      <c r="E32" s="33">
        <f>E33+E34+E35+E36+E37+E38</f>
        <v>0</v>
      </c>
      <c r="F32" s="33">
        <f>F33+F34+F35+F36+F37+F38</f>
        <v>0</v>
      </c>
      <c r="G32" s="33">
        <f>G33+G34+G35+G36+G37+G38</f>
        <v>0</v>
      </c>
      <c r="H32" s="402"/>
      <c r="I32" s="402"/>
    </row>
    <row r="33" spans="1:9" ht="12.75" customHeight="1" hidden="1">
      <c r="A33" s="6"/>
      <c r="B33" s="29">
        <v>2271</v>
      </c>
      <c r="C33" s="30" t="s">
        <v>53</v>
      </c>
      <c r="D33" s="34">
        <f>'2019-3 СВОД'!D317</f>
        <v>0</v>
      </c>
      <c r="E33" s="34">
        <f>'2019-3 СВОД'!E317</f>
        <v>0</v>
      </c>
      <c r="F33" s="34">
        <f>'2019-3 СВОД'!F317</f>
        <v>0</v>
      </c>
      <c r="G33" s="34">
        <f>'2019-3 СВОД'!G317</f>
        <v>0</v>
      </c>
      <c r="H33" s="402"/>
      <c r="I33" s="402"/>
    </row>
    <row r="34" spans="1:9" ht="12.75" customHeight="1" hidden="1">
      <c r="A34" s="6"/>
      <c r="B34" s="29">
        <v>2272</v>
      </c>
      <c r="C34" s="30" t="s">
        <v>54</v>
      </c>
      <c r="D34" s="34">
        <f>'2019-3 СВОД'!D318</f>
        <v>0</v>
      </c>
      <c r="E34" s="34">
        <f>'2019-3 СВОД'!E318</f>
        <v>0</v>
      </c>
      <c r="F34" s="34">
        <f>'2019-3 СВОД'!F318</f>
        <v>0</v>
      </c>
      <c r="G34" s="34">
        <f>'2019-3 СВОД'!G318</f>
        <v>0</v>
      </c>
      <c r="H34" s="402"/>
      <c r="I34" s="402"/>
    </row>
    <row r="35" spans="1:9" ht="12.75" customHeight="1" hidden="1">
      <c r="A35" s="6"/>
      <c r="B35" s="29">
        <v>2273</v>
      </c>
      <c r="C35" s="30" t="s">
        <v>55</v>
      </c>
      <c r="D35" s="34">
        <f>'2019-3 СВОД'!D319</f>
        <v>0</v>
      </c>
      <c r="E35" s="34">
        <f>'2019-3 СВОД'!E319</f>
        <v>0</v>
      </c>
      <c r="F35" s="34">
        <f>'2019-3 СВОД'!F319</f>
        <v>0</v>
      </c>
      <c r="G35" s="34">
        <f>'2019-3 СВОД'!G319</f>
        <v>0</v>
      </c>
      <c r="H35" s="402"/>
      <c r="I35" s="402"/>
    </row>
    <row r="36" spans="1:9" ht="12.75" customHeight="1" hidden="1">
      <c r="A36" s="6"/>
      <c r="B36" s="29">
        <v>2274</v>
      </c>
      <c r="C36" s="30" t="s">
        <v>56</v>
      </c>
      <c r="D36" s="34">
        <f>'2019-3 СВОД'!D320</f>
        <v>0</v>
      </c>
      <c r="E36" s="34">
        <f>'2019-3 СВОД'!E320</f>
        <v>0</v>
      </c>
      <c r="F36" s="34">
        <f>'2019-3 СВОД'!F320</f>
        <v>0</v>
      </c>
      <c r="G36" s="34">
        <f>'2019-3 СВОД'!G320</f>
        <v>0</v>
      </c>
      <c r="H36" s="402"/>
      <c r="I36" s="402"/>
    </row>
    <row r="37" spans="1:9" ht="12.75" customHeight="1" hidden="1">
      <c r="A37" s="6"/>
      <c r="B37" s="29">
        <v>2275</v>
      </c>
      <c r="C37" s="30" t="s">
        <v>57</v>
      </c>
      <c r="D37" s="34">
        <f>'2019-3 СВОД'!D321</f>
        <v>0</v>
      </c>
      <c r="E37" s="34">
        <f>'2019-3 СВОД'!E321</f>
        <v>0</v>
      </c>
      <c r="F37" s="34">
        <f>'2019-3 СВОД'!F321</f>
        <v>0</v>
      </c>
      <c r="G37" s="34">
        <f>'2019-3 СВОД'!G321</f>
        <v>0</v>
      </c>
      <c r="H37" s="402"/>
      <c r="I37" s="402"/>
    </row>
    <row r="38" spans="1:9" ht="12.75" customHeight="1" hidden="1">
      <c r="A38" s="6"/>
      <c r="B38" s="31">
        <v>2276</v>
      </c>
      <c r="C38" s="32" t="s">
        <v>58</v>
      </c>
      <c r="D38" s="34">
        <f>'2019-3 СВОД'!D322</f>
        <v>0</v>
      </c>
      <c r="E38" s="34">
        <f>'2019-3 СВОД'!E322</f>
        <v>0</v>
      </c>
      <c r="F38" s="34">
        <f>'2019-3 СВОД'!F322</f>
        <v>0</v>
      </c>
      <c r="G38" s="34">
        <f>'2019-3 СВОД'!G322</f>
        <v>0</v>
      </c>
      <c r="H38" s="402"/>
      <c r="I38" s="402"/>
    </row>
    <row r="39" spans="1:9" ht="12.75" hidden="1">
      <c r="A39" s="6"/>
      <c r="B39" s="27">
        <v>2280</v>
      </c>
      <c r="C39" s="28" t="s">
        <v>59</v>
      </c>
      <c r="D39" s="33">
        <f>D40+D41</f>
        <v>0</v>
      </c>
      <c r="E39" s="33">
        <f>E40+E41</f>
        <v>0</v>
      </c>
      <c r="F39" s="33">
        <f>F40+F41</f>
        <v>0</v>
      </c>
      <c r="G39" s="33">
        <f>G40+G41</f>
        <v>0</v>
      </c>
      <c r="H39" s="402"/>
      <c r="I39" s="402"/>
    </row>
    <row r="40" spans="1:9" ht="12.75" hidden="1">
      <c r="A40" s="6"/>
      <c r="B40" s="29">
        <v>2281</v>
      </c>
      <c r="C40" s="30" t="s">
        <v>60</v>
      </c>
      <c r="D40" s="34">
        <f>'2019-3 СВОД'!D324</f>
        <v>0</v>
      </c>
      <c r="E40" s="34">
        <f>'2019-3 СВОД'!E324</f>
        <v>0</v>
      </c>
      <c r="F40" s="34">
        <f>'2019-3 СВОД'!F324</f>
        <v>0</v>
      </c>
      <c r="G40" s="34">
        <f>'2019-3 СВОД'!G324</f>
        <v>0</v>
      </c>
      <c r="H40" s="402"/>
      <c r="I40" s="402"/>
    </row>
    <row r="41" spans="1:9" ht="12.75" hidden="1">
      <c r="A41" s="6"/>
      <c r="B41" s="29">
        <v>2282</v>
      </c>
      <c r="C41" s="30" t="s">
        <v>61</v>
      </c>
      <c r="D41" s="34">
        <f>'2019-3 СВОД'!D325</f>
        <v>0</v>
      </c>
      <c r="E41" s="34">
        <f>'2019-3 СВОД'!E325</f>
        <v>0</v>
      </c>
      <c r="F41" s="34">
        <f>'2019-3 СВОД'!F325</f>
        <v>0</v>
      </c>
      <c r="G41" s="34">
        <f>'2019-3 СВОД'!G325</f>
        <v>0</v>
      </c>
      <c r="H41" s="402"/>
      <c r="I41" s="402"/>
    </row>
    <row r="42" spans="1:9" ht="12.75" customHeight="1" hidden="1">
      <c r="A42" s="6"/>
      <c r="B42" s="27">
        <v>2400</v>
      </c>
      <c r="C42" s="28" t="s">
        <v>62</v>
      </c>
      <c r="D42" s="34">
        <f>D43+D44</f>
        <v>0</v>
      </c>
      <c r="E42" s="34">
        <f>E43+E44</f>
        <v>0</v>
      </c>
      <c r="F42" s="34">
        <f>F43+F44</f>
        <v>0</v>
      </c>
      <c r="G42" s="34">
        <f>G43+G44</f>
        <v>0</v>
      </c>
      <c r="H42" s="402"/>
      <c r="I42" s="402"/>
    </row>
    <row r="43" spans="1:9" ht="12.75" customHeight="1" hidden="1">
      <c r="A43" s="6"/>
      <c r="B43" s="29">
        <v>2410</v>
      </c>
      <c r="C43" s="30" t="s">
        <v>63</v>
      </c>
      <c r="D43" s="34">
        <f>'2019-3 СВОД'!D327</f>
        <v>0</v>
      </c>
      <c r="E43" s="34">
        <f>'2019-3 СВОД'!E327</f>
        <v>0</v>
      </c>
      <c r="F43" s="34">
        <f>'2019-3 СВОД'!F327</f>
        <v>0</v>
      </c>
      <c r="G43" s="34">
        <f>'2019-3 СВОД'!G327</f>
        <v>0</v>
      </c>
      <c r="H43" s="402"/>
      <c r="I43" s="402"/>
    </row>
    <row r="44" spans="1:9" ht="12.75" customHeight="1" hidden="1">
      <c r="A44" s="6"/>
      <c r="B44" s="29">
        <v>2420</v>
      </c>
      <c r="C44" s="30" t="s">
        <v>64</v>
      </c>
      <c r="D44" s="34">
        <f>'2019-3 СВОД'!D328</f>
        <v>0</v>
      </c>
      <c r="E44" s="34">
        <f>'2019-3 СВОД'!E328</f>
        <v>0</v>
      </c>
      <c r="F44" s="34">
        <f>'2019-3 СВОД'!F328</f>
        <v>0</v>
      </c>
      <c r="G44" s="34">
        <f>'2019-3 СВОД'!G328</f>
        <v>0</v>
      </c>
      <c r="H44" s="402"/>
      <c r="I44" s="402"/>
    </row>
    <row r="45" spans="1:9" ht="12.75" customHeight="1" hidden="1">
      <c r="A45" s="6"/>
      <c r="B45" s="27">
        <v>2600</v>
      </c>
      <c r="C45" s="28" t="s">
        <v>65</v>
      </c>
      <c r="D45" s="33">
        <f>D46+D47+D48</f>
        <v>0</v>
      </c>
      <c r="E45" s="33">
        <f>E46+E47+E48</f>
        <v>0</v>
      </c>
      <c r="F45" s="33">
        <f>F46+F47+F48</f>
        <v>0</v>
      </c>
      <c r="G45" s="33">
        <f>G46+G47+G48</f>
        <v>0</v>
      </c>
      <c r="H45" s="402"/>
      <c r="I45" s="402"/>
    </row>
    <row r="46" spans="1:9" ht="12.75" hidden="1">
      <c r="A46" s="6"/>
      <c r="B46" s="29">
        <v>2610</v>
      </c>
      <c r="C46" s="30" t="s">
        <v>66</v>
      </c>
      <c r="D46" s="34">
        <f>'2019-3 СВОД'!D330</f>
        <v>0</v>
      </c>
      <c r="E46" s="34">
        <f>'2019-3 СВОД'!E330</f>
        <v>0</v>
      </c>
      <c r="F46" s="34">
        <f>'2019-3 СВОД'!F330</f>
        <v>0</v>
      </c>
      <c r="G46" s="34">
        <f>'2019-3 СВОД'!G330</f>
        <v>0</v>
      </c>
      <c r="H46" s="402"/>
      <c r="I46" s="402"/>
    </row>
    <row r="47" spans="1:9" ht="12.75" customHeight="1" hidden="1">
      <c r="A47" s="6"/>
      <c r="B47" s="29">
        <v>2620</v>
      </c>
      <c r="C47" s="30" t="s">
        <v>67</v>
      </c>
      <c r="D47" s="34">
        <f>'2019-3 СВОД'!D331</f>
        <v>0</v>
      </c>
      <c r="E47" s="34">
        <f>'2019-3 СВОД'!E331</f>
        <v>0</v>
      </c>
      <c r="F47" s="34">
        <f>'2019-3 СВОД'!F331</f>
        <v>0</v>
      </c>
      <c r="G47" s="34">
        <f>'2019-3 СВОД'!G331</f>
        <v>0</v>
      </c>
      <c r="H47" s="402"/>
      <c r="I47" s="402"/>
    </row>
    <row r="48" spans="1:9" ht="12.75" hidden="1">
      <c r="A48" s="6"/>
      <c r="B48" s="29">
        <v>2630</v>
      </c>
      <c r="C48" s="30" t="s">
        <v>68</v>
      </c>
      <c r="D48" s="34">
        <f>'2019-3 СВОД'!D332</f>
        <v>0</v>
      </c>
      <c r="E48" s="34">
        <f>'2019-3 СВОД'!E332</f>
        <v>0</v>
      </c>
      <c r="F48" s="34">
        <f>'2019-3 СВОД'!F332</f>
        <v>0</v>
      </c>
      <c r="G48" s="34">
        <f>'2019-3 СВОД'!G332</f>
        <v>0</v>
      </c>
      <c r="H48" s="402"/>
      <c r="I48" s="402"/>
    </row>
    <row r="49" spans="1:9" ht="12.75" customHeight="1" hidden="1">
      <c r="A49" s="6"/>
      <c r="B49" s="27">
        <v>2700</v>
      </c>
      <c r="C49" s="28" t="s">
        <v>69</v>
      </c>
      <c r="D49" s="33">
        <f>D50+D51+D52</f>
        <v>0</v>
      </c>
      <c r="E49" s="33">
        <f>E50+E51+E52</f>
        <v>0</v>
      </c>
      <c r="F49" s="33">
        <f>F50+F51+F52</f>
        <v>0</v>
      </c>
      <c r="G49" s="33">
        <f>G50+G51+G52</f>
        <v>0</v>
      </c>
      <c r="H49" s="402"/>
      <c r="I49" s="402"/>
    </row>
    <row r="50" spans="1:9" ht="12.75" customHeight="1" hidden="1">
      <c r="A50" s="6"/>
      <c r="B50" s="29">
        <v>2710</v>
      </c>
      <c r="C50" s="30" t="s">
        <v>70</v>
      </c>
      <c r="D50" s="34">
        <f>'2019-3 СВОД'!D334</f>
        <v>0</v>
      </c>
      <c r="E50" s="34">
        <f>'2019-3 СВОД'!E334</f>
        <v>0</v>
      </c>
      <c r="F50" s="34">
        <f>'2019-3 СВОД'!F334</f>
        <v>0</v>
      </c>
      <c r="G50" s="34">
        <f>'2019-3 СВОД'!G334</f>
        <v>0</v>
      </c>
      <c r="H50" s="402"/>
      <c r="I50" s="402"/>
    </row>
    <row r="51" spans="1:9" ht="12.75" customHeight="1" hidden="1">
      <c r="A51" s="6"/>
      <c r="B51" s="29">
        <v>2720</v>
      </c>
      <c r="C51" s="30" t="s">
        <v>71</v>
      </c>
      <c r="D51" s="34">
        <f>'2019-3 СВОД'!D335</f>
        <v>0</v>
      </c>
      <c r="E51" s="34">
        <f>'2019-3 СВОД'!E335</f>
        <v>0</v>
      </c>
      <c r="F51" s="34">
        <f>'2019-3 СВОД'!F335</f>
        <v>0</v>
      </c>
      <c r="G51" s="34">
        <f>'2019-3 СВОД'!G335</f>
        <v>0</v>
      </c>
      <c r="H51" s="402"/>
      <c r="I51" s="402"/>
    </row>
    <row r="52" spans="1:9" ht="12.75" customHeight="1" hidden="1">
      <c r="A52" s="6"/>
      <c r="B52" s="29">
        <v>2730</v>
      </c>
      <c r="C52" s="30" t="s">
        <v>72</v>
      </c>
      <c r="D52" s="34">
        <f>'2019-3 СВОД'!D336</f>
        <v>0</v>
      </c>
      <c r="E52" s="34">
        <f>'2019-3 СВОД'!E336</f>
        <v>0</v>
      </c>
      <c r="F52" s="34">
        <f>'2019-3 СВОД'!F336</f>
        <v>0</v>
      </c>
      <c r="G52" s="34">
        <f>'2019-3 СВОД'!G336</f>
        <v>0</v>
      </c>
      <c r="H52" s="402"/>
      <c r="I52" s="402"/>
    </row>
    <row r="53" spans="1:9" ht="12.75" customHeight="1" hidden="1">
      <c r="A53" s="6"/>
      <c r="B53" s="27">
        <v>2800</v>
      </c>
      <c r="C53" s="28" t="s">
        <v>73</v>
      </c>
      <c r="D53" s="34">
        <f>'2019-3 СВОД'!D337</f>
        <v>0</v>
      </c>
      <c r="E53" s="34">
        <f>'2019-3 СВОД'!E337</f>
        <v>0</v>
      </c>
      <c r="F53" s="34">
        <f>'2019-3 СВОД'!F337</f>
        <v>0</v>
      </c>
      <c r="G53" s="34">
        <f>'2019-3 СВОД'!G337</f>
        <v>0</v>
      </c>
      <c r="H53" s="402"/>
      <c r="I53" s="402"/>
    </row>
    <row r="54" spans="1:9" ht="12.75" hidden="1">
      <c r="A54" s="21"/>
      <c r="B54" s="27">
        <v>3000</v>
      </c>
      <c r="C54" s="28" t="s">
        <v>40</v>
      </c>
      <c r="D54" s="40">
        <f>D55+D69</f>
        <v>0</v>
      </c>
      <c r="E54" s="40">
        <f>E55+E69</f>
        <v>0</v>
      </c>
      <c r="F54" s="40">
        <f>F55+F69</f>
        <v>0</v>
      </c>
      <c r="G54" s="40">
        <f>G55+G69</f>
        <v>0</v>
      </c>
      <c r="H54" s="402"/>
      <c r="I54" s="402"/>
    </row>
    <row r="55" spans="1:9" ht="12.75" hidden="1">
      <c r="A55" s="21"/>
      <c r="B55" s="27">
        <v>3100</v>
      </c>
      <c r="C55" s="28" t="s">
        <v>41</v>
      </c>
      <c r="D55" s="40">
        <f>D56+D57+D60+D63+D67+D68+D69</f>
        <v>0</v>
      </c>
      <c r="E55" s="40">
        <f>E56+E57+E60+E63+E67+E68+E69</f>
        <v>0</v>
      </c>
      <c r="F55" s="40">
        <f>F56+F57+F60+F63+F67+F68+F69</f>
        <v>0</v>
      </c>
      <c r="G55" s="40">
        <f>G56+G57+G60+G63+G67+G68+G69</f>
        <v>0</v>
      </c>
      <c r="H55" s="402"/>
      <c r="I55" s="402"/>
    </row>
    <row r="56" spans="1:9" ht="12.75" hidden="1">
      <c r="A56" s="21"/>
      <c r="B56" s="29">
        <v>3110</v>
      </c>
      <c r="C56" s="30" t="s">
        <v>74</v>
      </c>
      <c r="D56" s="34">
        <f>'2019-3 СВОД'!D340</f>
        <v>0</v>
      </c>
      <c r="E56" s="34">
        <f>'2019-3 СВОД'!E340</f>
        <v>0</v>
      </c>
      <c r="F56" s="34">
        <f>'2019-3 СВОД'!F340</f>
        <v>0</v>
      </c>
      <c r="G56" s="34">
        <f>'2019-3 СВОД'!G340</f>
        <v>0</v>
      </c>
      <c r="H56" s="402"/>
      <c r="I56" s="402"/>
    </row>
    <row r="57" spans="1:9" ht="12.75" hidden="1">
      <c r="A57" s="21"/>
      <c r="B57" s="29">
        <v>3120</v>
      </c>
      <c r="C57" s="30" t="s">
        <v>75</v>
      </c>
      <c r="D57" s="40">
        <f>D58+D59</f>
        <v>0</v>
      </c>
      <c r="E57" s="40">
        <f>E58+E59</f>
        <v>0</v>
      </c>
      <c r="F57" s="40">
        <f>F58+F59</f>
        <v>0</v>
      </c>
      <c r="G57" s="40">
        <f>G58+G59</f>
        <v>0</v>
      </c>
      <c r="H57" s="402"/>
      <c r="I57" s="402"/>
    </row>
    <row r="58" spans="1:9" ht="12.75" hidden="1">
      <c r="A58" s="21"/>
      <c r="B58" s="29">
        <v>3121</v>
      </c>
      <c r="C58" s="30" t="s">
        <v>76</v>
      </c>
      <c r="D58" s="34">
        <f>'2019-3 СВОД'!D342</f>
        <v>0</v>
      </c>
      <c r="E58" s="34">
        <f>'2019-3 СВОД'!E342</f>
        <v>0</v>
      </c>
      <c r="F58" s="34">
        <f>'2019-3 СВОД'!F342</f>
        <v>0</v>
      </c>
      <c r="G58" s="34">
        <f>'2019-3 СВОД'!G342</f>
        <v>0</v>
      </c>
      <c r="H58" s="402"/>
      <c r="I58" s="402"/>
    </row>
    <row r="59" spans="1:9" ht="12.75" hidden="1">
      <c r="A59" s="21"/>
      <c r="B59" s="29">
        <v>3122</v>
      </c>
      <c r="C59" s="30" t="s">
        <v>77</v>
      </c>
      <c r="D59" s="34">
        <f>'2019-3 СВОД'!D343</f>
        <v>0</v>
      </c>
      <c r="E59" s="34">
        <f>'2019-3 СВОД'!E343</f>
        <v>0</v>
      </c>
      <c r="F59" s="34">
        <f>'2019-3 СВОД'!F343</f>
        <v>0</v>
      </c>
      <c r="G59" s="34">
        <f>'2019-3 СВОД'!G343</f>
        <v>0</v>
      </c>
      <c r="H59" s="402"/>
      <c r="I59" s="402"/>
    </row>
    <row r="60" spans="1:9" ht="12.75" hidden="1">
      <c r="A60" s="21"/>
      <c r="B60" s="29">
        <v>3130</v>
      </c>
      <c r="C60" s="30" t="s">
        <v>78</v>
      </c>
      <c r="D60" s="40">
        <f>D61+D62</f>
        <v>0</v>
      </c>
      <c r="E60" s="40">
        <f>E61+E62</f>
        <v>0</v>
      </c>
      <c r="F60" s="40">
        <f>F61+F62</f>
        <v>0</v>
      </c>
      <c r="G60" s="40">
        <f>G61+G62</f>
        <v>0</v>
      </c>
      <c r="H60" s="402"/>
      <c r="I60" s="402"/>
    </row>
    <row r="61" spans="1:9" ht="12.75" hidden="1">
      <c r="A61" s="21"/>
      <c r="B61" s="29">
        <v>3131</v>
      </c>
      <c r="C61" s="30" t="s">
        <v>79</v>
      </c>
      <c r="D61" s="34">
        <f>'2019-3 СВОД'!D345</f>
        <v>0</v>
      </c>
      <c r="E61" s="34">
        <f>'2019-3 СВОД'!E345</f>
        <v>0</v>
      </c>
      <c r="F61" s="34">
        <f>'2019-3 СВОД'!F345</f>
        <v>0</v>
      </c>
      <c r="G61" s="34">
        <f>'2019-3 СВОД'!G345</f>
        <v>0</v>
      </c>
      <c r="H61" s="402"/>
      <c r="I61" s="402"/>
    </row>
    <row r="62" spans="1:9" ht="12.75" hidden="1">
      <c r="A62" s="21"/>
      <c r="B62" s="29">
        <v>3132</v>
      </c>
      <c r="C62" s="30" t="s">
        <v>80</v>
      </c>
      <c r="D62" s="34">
        <f>'2019-3 СВОД'!D346</f>
        <v>0</v>
      </c>
      <c r="E62" s="34">
        <f>'2019-3 СВОД'!E346</f>
        <v>0</v>
      </c>
      <c r="F62" s="34">
        <f>'2019-3 СВОД'!F346</f>
        <v>0</v>
      </c>
      <c r="G62" s="34">
        <f>'2019-3 СВОД'!G346</f>
        <v>0</v>
      </c>
      <c r="H62" s="402"/>
      <c r="I62" s="402"/>
    </row>
    <row r="63" spans="1:9" ht="12.75" hidden="1">
      <c r="A63" s="21"/>
      <c r="B63" s="29">
        <v>3140</v>
      </c>
      <c r="C63" s="30" t="s">
        <v>81</v>
      </c>
      <c r="D63" s="40">
        <f>D64+D65+D66</f>
        <v>0</v>
      </c>
      <c r="E63" s="40">
        <f>E64+E65+E66</f>
        <v>0</v>
      </c>
      <c r="F63" s="40">
        <f>F64+F65+F66</f>
        <v>0</v>
      </c>
      <c r="G63" s="40">
        <f>G64+G65+G66</f>
        <v>0</v>
      </c>
      <c r="H63" s="402"/>
      <c r="I63" s="402"/>
    </row>
    <row r="64" spans="1:9" ht="12.75" hidden="1">
      <c r="A64" s="21"/>
      <c r="B64" s="29">
        <v>3141</v>
      </c>
      <c r="C64" s="30" t="s">
        <v>82</v>
      </c>
      <c r="D64" s="34">
        <f>'2019-3 СВОД'!D348</f>
        <v>0</v>
      </c>
      <c r="E64" s="34">
        <f>'2019-3 СВОД'!E348</f>
        <v>0</v>
      </c>
      <c r="F64" s="34">
        <f>'2019-3 СВОД'!F348</f>
        <v>0</v>
      </c>
      <c r="G64" s="34">
        <f>'2019-3 СВОД'!G348</f>
        <v>0</v>
      </c>
      <c r="H64" s="402"/>
      <c r="I64" s="402"/>
    </row>
    <row r="65" spans="1:9" ht="12.75" hidden="1">
      <c r="A65" s="21"/>
      <c r="B65" s="29">
        <v>3142</v>
      </c>
      <c r="C65" s="30" t="s">
        <v>83</v>
      </c>
      <c r="D65" s="34">
        <f>'2019-3 СВОД'!D349</f>
        <v>0</v>
      </c>
      <c r="E65" s="34">
        <f>'2019-3 СВОД'!E349</f>
        <v>0</v>
      </c>
      <c r="F65" s="34">
        <f>'2019-3 СВОД'!F349</f>
        <v>0</v>
      </c>
      <c r="G65" s="34">
        <f>'2019-3 СВОД'!G349</f>
        <v>0</v>
      </c>
      <c r="H65" s="402"/>
      <c r="I65" s="402"/>
    </row>
    <row r="66" spans="1:9" ht="12.75" hidden="1">
      <c r="A66" s="21"/>
      <c r="B66" s="29">
        <v>3143</v>
      </c>
      <c r="C66" s="30" t="s">
        <v>84</v>
      </c>
      <c r="D66" s="34">
        <f>'2019-3 СВОД'!D350</f>
        <v>0</v>
      </c>
      <c r="E66" s="34">
        <f>'2019-3 СВОД'!E350</f>
        <v>0</v>
      </c>
      <c r="F66" s="34">
        <f>'2019-3 СВОД'!F350</f>
        <v>0</v>
      </c>
      <c r="G66" s="34">
        <f>'2019-3 СВОД'!G350</f>
        <v>0</v>
      </c>
      <c r="H66" s="402"/>
      <c r="I66" s="402"/>
    </row>
    <row r="67" spans="1:9" ht="12.75" hidden="1">
      <c r="A67" s="21"/>
      <c r="B67" s="29">
        <v>3150</v>
      </c>
      <c r="C67" s="30" t="s">
        <v>85</v>
      </c>
      <c r="D67" s="34">
        <f>'2019-3 СВОД'!D351</f>
        <v>0</v>
      </c>
      <c r="E67" s="34">
        <f>'2019-3 СВОД'!E351</f>
        <v>0</v>
      </c>
      <c r="F67" s="34">
        <f>'2019-3 СВОД'!F351</f>
        <v>0</v>
      </c>
      <c r="G67" s="34">
        <f>'2019-3 СВОД'!G351</f>
        <v>0</v>
      </c>
      <c r="H67" s="402"/>
      <c r="I67" s="402"/>
    </row>
    <row r="68" spans="1:9" ht="12.75" hidden="1">
      <c r="A68" s="21"/>
      <c r="B68" s="29">
        <v>3160</v>
      </c>
      <c r="C68" s="30" t="s">
        <v>86</v>
      </c>
      <c r="D68" s="34">
        <f>'2019-3 СВОД'!D352</f>
        <v>0</v>
      </c>
      <c r="E68" s="34">
        <f>'2019-3 СВОД'!E352</f>
        <v>0</v>
      </c>
      <c r="F68" s="34">
        <f>'2019-3 СВОД'!F352</f>
        <v>0</v>
      </c>
      <c r="G68" s="34">
        <f>'2019-3 СВОД'!G352</f>
        <v>0</v>
      </c>
      <c r="H68" s="402"/>
      <c r="I68" s="402"/>
    </row>
    <row r="69" spans="1:9" ht="12.75" hidden="1">
      <c r="A69" s="21"/>
      <c r="B69" s="27">
        <v>3200</v>
      </c>
      <c r="C69" s="28" t="s">
        <v>87</v>
      </c>
      <c r="D69" s="40">
        <f>D70+D71+D72+D73</f>
        <v>0</v>
      </c>
      <c r="E69" s="40">
        <f>E70+E71+E72+E73</f>
        <v>0</v>
      </c>
      <c r="F69" s="40">
        <f>F70+F71+F72+F73</f>
        <v>0</v>
      </c>
      <c r="G69" s="40">
        <f>G70+G71+G72+G73</f>
        <v>0</v>
      </c>
      <c r="H69" s="402"/>
      <c r="I69" s="402"/>
    </row>
    <row r="70" spans="1:9" ht="12.75" hidden="1">
      <c r="A70" s="21"/>
      <c r="B70" s="29">
        <v>3210</v>
      </c>
      <c r="C70" s="30" t="s">
        <v>88</v>
      </c>
      <c r="D70" s="34">
        <f>'2019-3 СВОД'!D354</f>
        <v>0</v>
      </c>
      <c r="E70" s="34">
        <f>'2019-3 СВОД'!E354</f>
        <v>0</v>
      </c>
      <c r="F70" s="34">
        <f>'2019-3 СВОД'!F354</f>
        <v>0</v>
      </c>
      <c r="G70" s="34">
        <f>'2019-3 СВОД'!G354</f>
        <v>0</v>
      </c>
      <c r="H70" s="402"/>
      <c r="I70" s="402"/>
    </row>
    <row r="71" spans="1:9" ht="12.75" hidden="1">
      <c r="A71" s="21"/>
      <c r="B71" s="29">
        <v>3220</v>
      </c>
      <c r="C71" s="30" t="s">
        <v>89</v>
      </c>
      <c r="D71" s="34">
        <f>'2019-3 СВОД'!D355</f>
        <v>0</v>
      </c>
      <c r="E71" s="34">
        <f>'2019-3 СВОД'!E355</f>
        <v>0</v>
      </c>
      <c r="F71" s="34">
        <f>'2019-3 СВОД'!F355</f>
        <v>0</v>
      </c>
      <c r="G71" s="34">
        <f>'2019-3 СВОД'!G355</f>
        <v>0</v>
      </c>
      <c r="H71" s="402"/>
      <c r="I71" s="402"/>
    </row>
    <row r="72" spans="1:9" ht="12.75" hidden="1">
      <c r="A72" s="21"/>
      <c r="B72" s="29">
        <v>3230</v>
      </c>
      <c r="C72" s="30" t="s">
        <v>90</v>
      </c>
      <c r="D72" s="34">
        <f>'2019-3 СВОД'!D356</f>
        <v>0</v>
      </c>
      <c r="E72" s="34">
        <f>'2019-3 СВОД'!E356</f>
        <v>0</v>
      </c>
      <c r="F72" s="34">
        <f>'2019-3 СВОД'!F356</f>
        <v>0</v>
      </c>
      <c r="G72" s="34">
        <f>'2019-3 СВОД'!G356</f>
        <v>0</v>
      </c>
      <c r="H72" s="402"/>
      <c r="I72" s="402"/>
    </row>
    <row r="73" spans="1:9" ht="13.5" customHeight="1" hidden="1">
      <c r="A73" s="21"/>
      <c r="B73" s="29">
        <v>3240</v>
      </c>
      <c r="C73" s="30" t="s">
        <v>91</v>
      </c>
      <c r="D73" s="34">
        <f>'2019-3 СВОД'!D357</f>
        <v>0</v>
      </c>
      <c r="E73" s="34">
        <f>'2019-3 СВОД'!E357</f>
        <v>0</v>
      </c>
      <c r="F73" s="34">
        <f>'2019-3 СВОД'!F357</f>
        <v>0</v>
      </c>
      <c r="G73" s="34">
        <f>'2019-3 СВОД'!G357</f>
        <v>0</v>
      </c>
      <c r="H73" s="402"/>
      <c r="I73" s="402"/>
    </row>
    <row r="74" spans="1:9" s="19" customFormat="1" ht="13.5" customHeight="1">
      <c r="A74" s="7"/>
      <c r="B74" s="7"/>
      <c r="C74" s="20" t="s">
        <v>3</v>
      </c>
      <c r="D74" s="34">
        <f>D19+D54</f>
        <v>1128.47</v>
      </c>
      <c r="E74" s="34">
        <f>E19+E54</f>
        <v>1480.4</v>
      </c>
      <c r="F74" s="34">
        <f>F19+F54</f>
        <v>1703.6000000000001</v>
      </c>
      <c r="G74" s="34">
        <f>G19+G54</f>
        <v>0</v>
      </c>
      <c r="H74" s="402"/>
      <c r="I74" s="402"/>
    </row>
    <row r="75" spans="1:9" s="156" customFormat="1" ht="13.5" customHeight="1">
      <c r="A75" s="154"/>
      <c r="B75" s="154">
        <f>'2019-3 СВОД'!B359</f>
        <v>1113133</v>
      </c>
      <c r="C75" s="154" t="str">
        <f>'2019-3 СВОД'!C359</f>
        <v>Підпрограма Інші заходи та заклади молодіжної політики</v>
      </c>
      <c r="D75" s="170">
        <f>D76+D111</f>
        <v>2284.2</v>
      </c>
      <c r="E75" s="170">
        <f>E76+E111</f>
        <v>5751.8</v>
      </c>
      <c r="F75" s="170">
        <f>F76+F111</f>
        <v>2999.8999999999996</v>
      </c>
      <c r="G75" s="170">
        <f>G76+G111</f>
        <v>3128</v>
      </c>
      <c r="H75" s="464"/>
      <c r="I75" s="465"/>
    </row>
    <row r="76" spans="1:9" ht="12.75">
      <c r="A76" s="6"/>
      <c r="B76" s="27">
        <v>2000</v>
      </c>
      <c r="C76" s="28" t="s">
        <v>37</v>
      </c>
      <c r="D76" s="33">
        <f>D77+D82+D99+D102+D106+D110</f>
        <v>2284.2</v>
      </c>
      <c r="E76" s="33">
        <f>E77+E82+E99+E102+E106+E110</f>
        <v>5751.8</v>
      </c>
      <c r="F76" s="33">
        <f>F77+F82+F99+F102+F106+F110</f>
        <v>2999.8999999999996</v>
      </c>
      <c r="G76" s="33">
        <f>G77+G82+G99+G102+G106+G110</f>
        <v>3092</v>
      </c>
      <c r="H76" s="402"/>
      <c r="I76" s="402"/>
    </row>
    <row r="77" spans="1:9" ht="12.75" customHeight="1">
      <c r="A77" s="6"/>
      <c r="B77" s="29">
        <v>2100</v>
      </c>
      <c r="C77" s="30" t="s">
        <v>38</v>
      </c>
      <c r="D77" s="35">
        <f>D78+D81</f>
        <v>1530.26</v>
      </c>
      <c r="E77" s="35">
        <f>E78+E81</f>
        <v>1833.4</v>
      </c>
      <c r="F77" s="35">
        <f>F78+F81</f>
        <v>2035.3</v>
      </c>
      <c r="G77" s="35">
        <f>G78+G81</f>
        <v>0</v>
      </c>
      <c r="H77" s="402"/>
      <c r="I77" s="402"/>
    </row>
    <row r="78" spans="1:9" ht="12.75" customHeight="1">
      <c r="A78" s="6"/>
      <c r="B78" s="29">
        <v>2110</v>
      </c>
      <c r="C78" s="30" t="s">
        <v>39</v>
      </c>
      <c r="D78" s="35">
        <f>D79+D80</f>
        <v>1252.98</v>
      </c>
      <c r="E78" s="35">
        <f>E79+E80</f>
        <v>1511</v>
      </c>
      <c r="F78" s="35">
        <f>F79+F80</f>
        <v>1668.3</v>
      </c>
      <c r="G78" s="35">
        <f>G79+G80</f>
        <v>0</v>
      </c>
      <c r="H78" s="403"/>
      <c r="I78" s="404"/>
    </row>
    <row r="79" spans="1:9" ht="12.75" customHeight="1">
      <c r="A79" s="6"/>
      <c r="B79" s="29">
        <v>2111</v>
      </c>
      <c r="C79" s="30" t="s">
        <v>42</v>
      </c>
      <c r="D79" s="34">
        <f>'2019-3 СВОД'!D363</f>
        <v>1252.98</v>
      </c>
      <c r="E79" s="34">
        <f>'2019-3 СВОД'!E363</f>
        <v>1511</v>
      </c>
      <c r="F79" s="34">
        <f>'2019-3 СВОД'!F363</f>
        <v>1668.3</v>
      </c>
      <c r="G79" s="34">
        <f>'2019-3 СВОД'!G363</f>
        <v>0</v>
      </c>
      <c r="H79" s="405"/>
      <c r="I79" s="406"/>
    </row>
    <row r="80" spans="1:9" ht="12.75" customHeight="1" hidden="1">
      <c r="A80" s="6"/>
      <c r="B80" s="29">
        <v>2112</v>
      </c>
      <c r="C80" s="30" t="s">
        <v>43</v>
      </c>
      <c r="D80" s="34">
        <f>'2019-3 СВОД'!D364</f>
        <v>0</v>
      </c>
      <c r="E80" s="34">
        <f>'2019-3 СВОД'!E364</f>
        <v>0</v>
      </c>
      <c r="F80" s="34">
        <f>'2019-3 СВОД'!F364</f>
        <v>0</v>
      </c>
      <c r="G80" s="34">
        <f>'2019-3 СВОД'!G364</f>
        <v>0</v>
      </c>
      <c r="H80" s="405"/>
      <c r="I80" s="406"/>
    </row>
    <row r="81" spans="1:9" ht="12.75" customHeight="1">
      <c r="A81" s="6"/>
      <c r="B81" s="29">
        <v>2120</v>
      </c>
      <c r="C81" s="30" t="s">
        <v>44</v>
      </c>
      <c r="D81" s="34">
        <f>'2019-3 СВОД'!D365</f>
        <v>277.28</v>
      </c>
      <c r="E81" s="34">
        <f>'2019-3 СВОД'!E365</f>
        <v>322.4</v>
      </c>
      <c r="F81" s="34">
        <f>'2019-3 СВОД'!F365</f>
        <v>367</v>
      </c>
      <c r="G81" s="34">
        <f>'2019-3 СВОД'!G365</f>
        <v>0</v>
      </c>
      <c r="H81" s="407"/>
      <c r="I81" s="408"/>
    </row>
    <row r="82" spans="1:9" ht="12.75" customHeight="1">
      <c r="A82" s="6"/>
      <c r="B82" s="27">
        <v>2200</v>
      </c>
      <c r="C82" s="28" t="s">
        <v>45</v>
      </c>
      <c r="D82" s="33">
        <f>SUM(D83:D89)+D96</f>
        <v>570.76</v>
      </c>
      <c r="E82" s="33">
        <f>SUM(E83:E89)+E96</f>
        <v>618.4</v>
      </c>
      <c r="F82" s="33">
        <f>SUM(F83:F89)+F96</f>
        <v>664.5999999999999</v>
      </c>
      <c r="G82" s="33">
        <f>SUM(G83:G89)+G96</f>
        <v>92</v>
      </c>
      <c r="H82" s="402"/>
      <c r="I82" s="402"/>
    </row>
    <row r="83" spans="1:9" ht="12.75">
      <c r="A83" s="6"/>
      <c r="B83" s="29">
        <v>2210</v>
      </c>
      <c r="C83" s="30" t="s">
        <v>46</v>
      </c>
      <c r="D83" s="34">
        <f>'2019-3 СВОД'!D367</f>
        <v>86.9</v>
      </c>
      <c r="E83" s="34">
        <f>'2019-3 СВОД'!E367</f>
        <v>93</v>
      </c>
      <c r="F83" s="34">
        <f>'2019-3 СВОД'!F367</f>
        <v>99.9</v>
      </c>
      <c r="G83" s="34">
        <f>'2019-3 СВОД'!G367</f>
        <v>92</v>
      </c>
      <c r="H83" s="402" t="s">
        <v>591</v>
      </c>
      <c r="I83" s="402"/>
    </row>
    <row r="84" spans="1:9" ht="12.75" customHeight="1" hidden="1">
      <c r="A84" s="6"/>
      <c r="B84" s="29">
        <v>2220</v>
      </c>
      <c r="C84" s="30" t="s">
        <v>47</v>
      </c>
      <c r="D84" s="34">
        <f>'2019-3 СВОД'!D368</f>
        <v>0</v>
      </c>
      <c r="E84" s="34">
        <f>'2019-3 СВОД'!E368</f>
        <v>0</v>
      </c>
      <c r="F84" s="34">
        <f>'2019-3 СВОД'!F368</f>
        <v>0</v>
      </c>
      <c r="G84" s="34">
        <f>'2019-3 СВОД'!G368</f>
        <v>0</v>
      </c>
      <c r="H84" s="402"/>
      <c r="I84" s="402"/>
    </row>
    <row r="85" spans="1:9" ht="12.75" customHeight="1" hidden="1">
      <c r="A85" s="6"/>
      <c r="B85" s="29">
        <v>2230</v>
      </c>
      <c r="C85" s="30" t="s">
        <v>48</v>
      </c>
      <c r="D85" s="34">
        <f>'2019-3 СВОД'!D369</f>
        <v>0</v>
      </c>
      <c r="E85" s="34">
        <f>'2019-3 СВОД'!E369</f>
        <v>0</v>
      </c>
      <c r="F85" s="34">
        <f>'2019-3 СВОД'!F369</f>
        <v>0</v>
      </c>
      <c r="G85" s="34">
        <f>'2019-3 СВОД'!G369</f>
        <v>0</v>
      </c>
      <c r="H85" s="402"/>
      <c r="I85" s="402"/>
    </row>
    <row r="86" spans="1:9" ht="12.75" customHeight="1">
      <c r="A86" s="6"/>
      <c r="B86" s="29">
        <v>2240</v>
      </c>
      <c r="C86" s="30" t="s">
        <v>49</v>
      </c>
      <c r="D86" s="34">
        <f>'2019-3 СВОД'!D370</f>
        <v>446.92</v>
      </c>
      <c r="E86" s="34">
        <f>'2019-3 СВОД'!E370</f>
        <v>478.4</v>
      </c>
      <c r="F86" s="34">
        <f>'2019-3 СВОД'!F370</f>
        <v>513.8</v>
      </c>
      <c r="G86" s="34">
        <f>'2019-3 СВОД'!G370</f>
        <v>0</v>
      </c>
      <c r="H86" s="402"/>
      <c r="I86" s="402"/>
    </row>
    <row r="87" spans="1:9" ht="12.75" customHeight="1">
      <c r="A87" s="6"/>
      <c r="B87" s="29">
        <v>2250</v>
      </c>
      <c r="C87" s="30" t="s">
        <v>50</v>
      </c>
      <c r="D87" s="34">
        <f>'2019-3 СВОД'!D371</f>
        <v>25.38</v>
      </c>
      <c r="E87" s="34">
        <f>'2019-3 СВОД'!E371</f>
        <v>28.9</v>
      </c>
      <c r="F87" s="34">
        <f>'2019-3 СВОД'!F371</f>
        <v>31</v>
      </c>
      <c r="G87" s="34">
        <f>'2019-3 СВОД'!G371</f>
        <v>0</v>
      </c>
      <c r="H87" s="402"/>
      <c r="I87" s="402"/>
    </row>
    <row r="88" spans="1:9" ht="12.75" customHeight="1" hidden="1">
      <c r="A88" s="6"/>
      <c r="B88" s="29">
        <v>2260</v>
      </c>
      <c r="C88" s="30" t="s">
        <v>51</v>
      </c>
      <c r="D88" s="34">
        <f>'2019-3 СВОД'!D372</f>
        <v>0</v>
      </c>
      <c r="E88" s="34">
        <f>'2019-3 СВОД'!E372</f>
        <v>0</v>
      </c>
      <c r="F88" s="34">
        <f>'2019-3 СВОД'!F372</f>
        <v>0</v>
      </c>
      <c r="G88" s="34">
        <f>'2019-3 СВОД'!G372</f>
        <v>0</v>
      </c>
      <c r="H88" s="402"/>
      <c r="I88" s="402"/>
    </row>
    <row r="89" spans="1:9" ht="12.75" customHeight="1">
      <c r="A89" s="6"/>
      <c r="B89" s="27">
        <v>2270</v>
      </c>
      <c r="C89" s="28" t="s">
        <v>52</v>
      </c>
      <c r="D89" s="33">
        <f>D90+D91+D92+D93+D94+D95</f>
        <v>11.559999999999999</v>
      </c>
      <c r="E89" s="33">
        <f>E90+E91+E92+E93+E94+E95</f>
        <v>18.099999999999998</v>
      </c>
      <c r="F89" s="33">
        <f>F90+F91+F92+F93+F94+F95</f>
        <v>19.9</v>
      </c>
      <c r="G89" s="33">
        <f>G90+G91+G92+G93+G94+G95</f>
        <v>0</v>
      </c>
      <c r="H89" s="402"/>
      <c r="I89" s="402"/>
    </row>
    <row r="90" spans="1:9" ht="12.75" customHeight="1">
      <c r="A90" s="6"/>
      <c r="B90" s="29">
        <v>2271</v>
      </c>
      <c r="C90" s="30" t="s">
        <v>53</v>
      </c>
      <c r="D90" s="34">
        <f>'2019-3 СВОД'!D374</f>
        <v>5.06</v>
      </c>
      <c r="E90" s="34">
        <f>'2019-3 СВОД'!E374</f>
        <v>11.1</v>
      </c>
      <c r="F90" s="34">
        <f>'2019-3 СВОД'!F374</f>
        <v>12.2</v>
      </c>
      <c r="G90" s="34">
        <f>'2019-3 СВОД'!G374</f>
        <v>0</v>
      </c>
      <c r="H90" s="402"/>
      <c r="I90" s="402"/>
    </row>
    <row r="91" spans="1:9" ht="12.75" customHeight="1">
      <c r="A91" s="6"/>
      <c r="B91" s="29">
        <v>2272</v>
      </c>
      <c r="C91" s="30" t="s">
        <v>54</v>
      </c>
      <c r="D91" s="34">
        <f>'2019-3 СВОД'!D375</f>
        <v>1.2</v>
      </c>
      <c r="E91" s="34">
        <f>'2019-3 СВОД'!E375</f>
        <v>1.7</v>
      </c>
      <c r="F91" s="34">
        <f>'2019-3 СВОД'!F375</f>
        <v>1.9</v>
      </c>
      <c r="G91" s="34">
        <f>'2019-3 СВОД'!G375</f>
        <v>0</v>
      </c>
      <c r="H91" s="402"/>
      <c r="I91" s="402"/>
    </row>
    <row r="92" spans="1:9" ht="12.75" customHeight="1">
      <c r="A92" s="6"/>
      <c r="B92" s="29">
        <v>2273</v>
      </c>
      <c r="C92" s="30" t="s">
        <v>55</v>
      </c>
      <c r="D92" s="34">
        <f>'2019-3 СВОД'!D376</f>
        <v>5.3</v>
      </c>
      <c r="E92" s="34">
        <f>'2019-3 СВОД'!E376</f>
        <v>5.3</v>
      </c>
      <c r="F92" s="34">
        <f>'2019-3 СВОД'!F376</f>
        <v>5.8</v>
      </c>
      <c r="G92" s="34">
        <f>'2019-3 СВОД'!G376</f>
        <v>0</v>
      </c>
      <c r="H92" s="402"/>
      <c r="I92" s="402"/>
    </row>
    <row r="93" spans="1:9" ht="12.75" customHeight="1" hidden="1">
      <c r="A93" s="6"/>
      <c r="B93" s="29">
        <v>2274</v>
      </c>
      <c r="C93" s="30" t="s">
        <v>56</v>
      </c>
      <c r="D93" s="34">
        <f>'2019-3 СВОД'!D377</f>
        <v>0</v>
      </c>
      <c r="E93" s="34">
        <f>'2019-3 СВОД'!E377</f>
        <v>0</v>
      </c>
      <c r="F93" s="34">
        <f>'2019-3 СВОД'!F377</f>
        <v>0</v>
      </c>
      <c r="G93" s="34">
        <f>'2019-3 СВОД'!G377</f>
        <v>0</v>
      </c>
      <c r="H93" s="402"/>
      <c r="I93" s="402"/>
    </row>
    <row r="94" spans="1:9" ht="12.75" customHeight="1" hidden="1">
      <c r="A94" s="6"/>
      <c r="B94" s="29">
        <v>2275</v>
      </c>
      <c r="C94" s="30" t="s">
        <v>57</v>
      </c>
      <c r="D94" s="34">
        <f>'2019-3 СВОД'!D378</f>
        <v>0</v>
      </c>
      <c r="E94" s="34">
        <f>'2019-3 СВОД'!E378</f>
        <v>0</v>
      </c>
      <c r="F94" s="34">
        <f>'2019-3 СВОД'!F378</f>
        <v>0</v>
      </c>
      <c r="G94" s="34">
        <f>'2019-3 СВОД'!G378</f>
        <v>0</v>
      </c>
      <c r="H94" s="402"/>
      <c r="I94" s="402"/>
    </row>
    <row r="95" spans="1:9" ht="12.75" customHeight="1" hidden="1">
      <c r="A95" s="6"/>
      <c r="B95" s="31">
        <v>2276</v>
      </c>
      <c r="C95" s="32" t="s">
        <v>58</v>
      </c>
      <c r="D95" s="34">
        <f>'2019-3 СВОД'!D379</f>
        <v>0</v>
      </c>
      <c r="E95" s="34">
        <f>'2019-3 СВОД'!E379</f>
        <v>0</v>
      </c>
      <c r="F95" s="34">
        <f>'2019-3 СВОД'!F379</f>
        <v>0</v>
      </c>
      <c r="G95" s="34">
        <f>'2019-3 СВОД'!G379</f>
        <v>0</v>
      </c>
      <c r="H95" s="402"/>
      <c r="I95" s="402"/>
    </row>
    <row r="96" spans="1:9" ht="12.75" hidden="1">
      <c r="A96" s="6"/>
      <c r="B96" s="27">
        <v>2280</v>
      </c>
      <c r="C96" s="28" t="s">
        <v>59</v>
      </c>
      <c r="D96" s="33">
        <f>D97+D98</f>
        <v>0</v>
      </c>
      <c r="E96" s="33">
        <f>E97+E98</f>
        <v>0</v>
      </c>
      <c r="F96" s="33">
        <f>F97+F98</f>
        <v>0</v>
      </c>
      <c r="G96" s="33">
        <f>G97+G98</f>
        <v>0</v>
      </c>
      <c r="H96" s="402"/>
      <c r="I96" s="402"/>
    </row>
    <row r="97" spans="1:9" ht="12.75" hidden="1">
      <c r="A97" s="6"/>
      <c r="B97" s="29">
        <v>2281</v>
      </c>
      <c r="C97" s="30" t="s">
        <v>60</v>
      </c>
      <c r="D97" s="34">
        <f>'2019-3 СВОД'!D381</f>
        <v>0</v>
      </c>
      <c r="E97" s="34">
        <f>'2019-3 СВОД'!E381</f>
        <v>0</v>
      </c>
      <c r="F97" s="34">
        <f>'2019-3 СВОД'!F381</f>
        <v>0</v>
      </c>
      <c r="G97" s="34">
        <f>'2019-3 СВОД'!G381</f>
        <v>0</v>
      </c>
      <c r="H97" s="402"/>
      <c r="I97" s="402"/>
    </row>
    <row r="98" spans="1:9" ht="12.75" hidden="1">
      <c r="A98" s="6"/>
      <c r="B98" s="29">
        <v>2282</v>
      </c>
      <c r="C98" s="30" t="s">
        <v>61</v>
      </c>
      <c r="D98" s="34">
        <f>'2019-3 СВОД'!D382</f>
        <v>0</v>
      </c>
      <c r="E98" s="34">
        <f>'2019-3 СВОД'!E382</f>
        <v>0</v>
      </c>
      <c r="F98" s="34">
        <f>'2019-3 СВОД'!F382</f>
        <v>0</v>
      </c>
      <c r="G98" s="34">
        <f>'2019-3 СВОД'!G382</f>
        <v>0</v>
      </c>
      <c r="H98" s="402"/>
      <c r="I98" s="402"/>
    </row>
    <row r="99" spans="1:9" ht="12.75" customHeight="1" hidden="1">
      <c r="A99" s="6"/>
      <c r="B99" s="27">
        <v>2400</v>
      </c>
      <c r="C99" s="28" t="s">
        <v>62</v>
      </c>
      <c r="D99" s="34">
        <f>D100+D101</f>
        <v>0</v>
      </c>
      <c r="E99" s="34">
        <f>E100+E101</f>
        <v>0</v>
      </c>
      <c r="F99" s="34">
        <f>F100+F101</f>
        <v>0</v>
      </c>
      <c r="G99" s="34">
        <f>G100+G101</f>
        <v>0</v>
      </c>
      <c r="H99" s="402"/>
      <c r="I99" s="402"/>
    </row>
    <row r="100" spans="1:9" ht="12.75" customHeight="1" hidden="1">
      <c r="A100" s="6"/>
      <c r="B100" s="29">
        <v>2410</v>
      </c>
      <c r="C100" s="30" t="s">
        <v>63</v>
      </c>
      <c r="D100" s="34">
        <f>'2019-3 СВОД'!D384</f>
        <v>0</v>
      </c>
      <c r="E100" s="34">
        <f>'2019-3 СВОД'!E384</f>
        <v>0</v>
      </c>
      <c r="F100" s="34">
        <f>'2019-3 СВОД'!F384</f>
        <v>0</v>
      </c>
      <c r="G100" s="34">
        <f>'2019-3 СВОД'!G384</f>
        <v>0</v>
      </c>
      <c r="H100" s="402"/>
      <c r="I100" s="402"/>
    </row>
    <row r="101" spans="1:9" ht="12.75" customHeight="1" hidden="1">
      <c r="A101" s="6"/>
      <c r="B101" s="29">
        <v>2420</v>
      </c>
      <c r="C101" s="30" t="s">
        <v>64</v>
      </c>
      <c r="D101" s="34">
        <f>'2019-3 СВОД'!D385</f>
        <v>0</v>
      </c>
      <c r="E101" s="34">
        <f>'2019-3 СВОД'!E385</f>
        <v>0</v>
      </c>
      <c r="F101" s="34">
        <f>'2019-3 СВОД'!F385</f>
        <v>0</v>
      </c>
      <c r="G101" s="34">
        <f>'2019-3 СВОД'!G385</f>
        <v>0</v>
      </c>
      <c r="H101" s="402"/>
      <c r="I101" s="402"/>
    </row>
    <row r="102" spans="1:9" ht="12.75" customHeight="1">
      <c r="A102" s="6"/>
      <c r="B102" s="27">
        <v>2600</v>
      </c>
      <c r="C102" s="28" t="s">
        <v>65</v>
      </c>
      <c r="D102" s="33">
        <f>D103+D104+D105</f>
        <v>183.18</v>
      </c>
      <c r="E102" s="33">
        <f>E103+E104+E105</f>
        <v>300</v>
      </c>
      <c r="F102" s="33">
        <f>F103+F104+F105</f>
        <v>300</v>
      </c>
      <c r="G102" s="33">
        <f>G103+G104+G105</f>
        <v>0</v>
      </c>
      <c r="H102" s="402"/>
      <c r="I102" s="402"/>
    </row>
    <row r="103" spans="1:9" ht="12.75">
      <c r="A103" s="6"/>
      <c r="B103" s="29">
        <v>2610</v>
      </c>
      <c r="C103" s="30" t="s">
        <v>66</v>
      </c>
      <c r="D103" s="34">
        <f>'2019-3 СВОД'!D387</f>
        <v>183.18</v>
      </c>
      <c r="E103" s="34">
        <f>'2019-3 СВОД'!E387</f>
        <v>300</v>
      </c>
      <c r="F103" s="34">
        <f>'2019-3 СВОД'!F387</f>
        <v>300</v>
      </c>
      <c r="G103" s="34">
        <f>'2019-3 СВОД'!G387</f>
        <v>0</v>
      </c>
      <c r="H103" s="402"/>
      <c r="I103" s="402"/>
    </row>
    <row r="104" spans="1:9" ht="12.75" customHeight="1" hidden="1">
      <c r="A104" s="6"/>
      <c r="B104" s="29">
        <v>2620</v>
      </c>
      <c r="C104" s="30" t="s">
        <v>67</v>
      </c>
      <c r="D104" s="34">
        <f>'2019-3 СВОД'!D388</f>
        <v>0</v>
      </c>
      <c r="E104" s="34">
        <f>'2019-3 СВОД'!E388</f>
        <v>0</v>
      </c>
      <c r="F104" s="34">
        <f>'2019-3 СВОД'!F388</f>
        <v>0</v>
      </c>
      <c r="G104" s="34">
        <f>'2019-3 СВОД'!G388</f>
        <v>0</v>
      </c>
      <c r="H104" s="402"/>
      <c r="I104" s="402"/>
    </row>
    <row r="105" spans="1:9" ht="12.75" hidden="1">
      <c r="A105" s="6"/>
      <c r="B105" s="29">
        <v>2630</v>
      </c>
      <c r="C105" s="30" t="s">
        <v>68</v>
      </c>
      <c r="D105" s="34">
        <f>'2019-3 СВОД'!D389</f>
        <v>0</v>
      </c>
      <c r="E105" s="34">
        <f>'2019-3 СВОД'!E389</f>
        <v>0</v>
      </c>
      <c r="F105" s="34">
        <f>'2019-3 СВОД'!F389</f>
        <v>0</v>
      </c>
      <c r="G105" s="34">
        <f>'2019-3 СВОД'!G389</f>
        <v>0</v>
      </c>
      <c r="H105" s="402"/>
      <c r="I105" s="402"/>
    </row>
    <row r="106" spans="1:9" ht="12.75" customHeight="1">
      <c r="A106" s="6"/>
      <c r="B106" s="27">
        <v>2700</v>
      </c>
      <c r="C106" s="28" t="s">
        <v>69</v>
      </c>
      <c r="D106" s="33">
        <f>D107+D108+D109</f>
        <v>0</v>
      </c>
      <c r="E106" s="33">
        <f>E107+E108+E109</f>
        <v>3000</v>
      </c>
      <c r="F106" s="33">
        <f>F107+F108+F109</f>
        <v>0</v>
      </c>
      <c r="G106" s="33">
        <f>G107+G108+G109</f>
        <v>3000</v>
      </c>
      <c r="H106" s="403" t="s">
        <v>195</v>
      </c>
      <c r="I106" s="404"/>
    </row>
    <row r="107" spans="1:9" ht="12.75" customHeight="1" hidden="1">
      <c r="A107" s="6"/>
      <c r="B107" s="29">
        <v>2710</v>
      </c>
      <c r="C107" s="30" t="s">
        <v>70</v>
      </c>
      <c r="D107" s="34">
        <f>'2019-3 СВОД'!D391</f>
        <v>0</v>
      </c>
      <c r="E107" s="34">
        <f>'2019-3 СВОД'!E391</f>
        <v>0</v>
      </c>
      <c r="F107" s="34">
        <f>'2019-3 СВОД'!F391</f>
        <v>0</v>
      </c>
      <c r="G107" s="34">
        <f>'2019-3 СВОД'!G391</f>
        <v>0</v>
      </c>
      <c r="H107" s="405"/>
      <c r="I107" s="406"/>
    </row>
    <row r="108" spans="1:9" ht="12.75" customHeight="1" hidden="1">
      <c r="A108" s="6"/>
      <c r="B108" s="29">
        <v>2720</v>
      </c>
      <c r="C108" s="30" t="s">
        <v>71</v>
      </c>
      <c r="D108" s="34">
        <f>'2019-3 СВОД'!D392</f>
        <v>0</v>
      </c>
      <c r="E108" s="34">
        <f>'2019-3 СВОД'!E392</f>
        <v>0</v>
      </c>
      <c r="F108" s="34">
        <f>'2019-3 СВОД'!F392</f>
        <v>0</v>
      </c>
      <c r="G108" s="34">
        <f>'2019-3 СВОД'!G392</f>
        <v>0</v>
      </c>
      <c r="H108" s="405"/>
      <c r="I108" s="406"/>
    </row>
    <row r="109" spans="1:9" ht="12.75" customHeight="1">
      <c r="A109" s="6"/>
      <c r="B109" s="29">
        <v>2730</v>
      </c>
      <c r="C109" s="30" t="s">
        <v>72</v>
      </c>
      <c r="D109" s="34">
        <f>'2019-3 СВОД'!D393</f>
        <v>0</v>
      </c>
      <c r="E109" s="34">
        <f>'2019-3 СВОД'!E393</f>
        <v>3000</v>
      </c>
      <c r="F109" s="34">
        <f>'2019-3 СВОД'!F393</f>
        <v>0</v>
      </c>
      <c r="G109" s="34">
        <f>'2019-3 СВОД'!G393</f>
        <v>3000</v>
      </c>
      <c r="H109" s="407"/>
      <c r="I109" s="408"/>
    </row>
    <row r="110" spans="1:9" ht="12.75" customHeight="1" hidden="1">
      <c r="A110" s="6"/>
      <c r="B110" s="27">
        <v>2800</v>
      </c>
      <c r="C110" s="28" t="s">
        <v>73</v>
      </c>
      <c r="D110" s="34">
        <f>'2019-3 СВОД'!D394</f>
        <v>0</v>
      </c>
      <c r="E110" s="34">
        <f>'2019-3 СВОД'!E394</f>
        <v>0</v>
      </c>
      <c r="F110" s="34">
        <f>'2019-3 СВОД'!F394</f>
        <v>0</v>
      </c>
      <c r="G110" s="34">
        <f>'2019-3 СВОД'!G394</f>
        <v>0</v>
      </c>
      <c r="H110" s="402"/>
      <c r="I110" s="402"/>
    </row>
    <row r="111" spans="1:9" ht="12.75">
      <c r="A111" s="21"/>
      <c r="B111" s="27">
        <v>3000</v>
      </c>
      <c r="C111" s="28" t="s">
        <v>40</v>
      </c>
      <c r="D111" s="40">
        <f>D112+D126</f>
        <v>0</v>
      </c>
      <c r="E111" s="40">
        <f>E112+E126</f>
        <v>0</v>
      </c>
      <c r="F111" s="40">
        <f>F112+F126</f>
        <v>0</v>
      </c>
      <c r="G111" s="40">
        <f>G112+G126</f>
        <v>36</v>
      </c>
      <c r="H111" s="403" t="s">
        <v>592</v>
      </c>
      <c r="I111" s="404"/>
    </row>
    <row r="112" spans="1:9" ht="12.75">
      <c r="A112" s="21"/>
      <c r="B112" s="27">
        <v>3100</v>
      </c>
      <c r="C112" s="28" t="s">
        <v>41</v>
      </c>
      <c r="D112" s="40">
        <f>D113+D114+D117+D120+D124+D125+D126</f>
        <v>0</v>
      </c>
      <c r="E112" s="40">
        <f>E113+E114+E117+E120+E124+E125+E126</f>
        <v>0</v>
      </c>
      <c r="F112" s="40">
        <f>F113+F114+F117+F120+F124+F125+F126</f>
        <v>0</v>
      </c>
      <c r="G112" s="40">
        <f>G113+G114+G117+G120+G124+G125+G126</f>
        <v>36</v>
      </c>
      <c r="H112" s="405"/>
      <c r="I112" s="406"/>
    </row>
    <row r="113" spans="1:9" ht="12.75">
      <c r="A113" s="21"/>
      <c r="B113" s="29">
        <v>3110</v>
      </c>
      <c r="C113" s="30" t="s">
        <v>74</v>
      </c>
      <c r="D113" s="34">
        <f>'2019-3 СВОД'!D397</f>
        <v>0</v>
      </c>
      <c r="E113" s="34">
        <f>'2019-3 СВОД'!E397</f>
        <v>0</v>
      </c>
      <c r="F113" s="34">
        <f>'2019-3 СВОД'!F397</f>
        <v>0</v>
      </c>
      <c r="G113" s="34">
        <f>'2019-3 СВОД'!G397</f>
        <v>36</v>
      </c>
      <c r="H113" s="407"/>
      <c r="I113" s="408"/>
    </row>
    <row r="114" spans="1:9" ht="12.75" hidden="1">
      <c r="A114" s="21"/>
      <c r="B114" s="29">
        <v>3120</v>
      </c>
      <c r="C114" s="30" t="s">
        <v>75</v>
      </c>
      <c r="D114" s="40">
        <f>D115+D116</f>
        <v>0</v>
      </c>
      <c r="E114" s="40">
        <f>E115+E116</f>
        <v>0</v>
      </c>
      <c r="F114" s="40">
        <f>F115+F116</f>
        <v>0</v>
      </c>
      <c r="G114" s="40">
        <f>G115+G116</f>
        <v>0</v>
      </c>
      <c r="H114" s="402"/>
      <c r="I114" s="402"/>
    </row>
    <row r="115" spans="1:9" ht="12.75" hidden="1">
      <c r="A115" s="21"/>
      <c r="B115" s="29">
        <v>3121</v>
      </c>
      <c r="C115" s="30" t="s">
        <v>76</v>
      </c>
      <c r="D115" s="34">
        <f>'2019-3 СВОД'!D399</f>
        <v>0</v>
      </c>
      <c r="E115" s="34">
        <f>'2019-3 СВОД'!E399</f>
        <v>0</v>
      </c>
      <c r="F115" s="34">
        <f>'2019-3 СВОД'!F399</f>
        <v>0</v>
      </c>
      <c r="G115" s="34">
        <f>'2019-3 СВОД'!G399</f>
        <v>0</v>
      </c>
      <c r="H115" s="402"/>
      <c r="I115" s="402"/>
    </row>
    <row r="116" spans="1:9" ht="12.75" hidden="1">
      <c r="A116" s="21"/>
      <c r="B116" s="29">
        <v>3122</v>
      </c>
      <c r="C116" s="30" t="s">
        <v>77</v>
      </c>
      <c r="D116" s="34">
        <f>'2019-3 СВОД'!D400</f>
        <v>0</v>
      </c>
      <c r="E116" s="34">
        <f>'2019-3 СВОД'!E400</f>
        <v>0</v>
      </c>
      <c r="F116" s="34">
        <f>'2019-3 СВОД'!F400</f>
        <v>0</v>
      </c>
      <c r="G116" s="34">
        <f>'2019-3 СВОД'!G400</f>
        <v>0</v>
      </c>
      <c r="H116" s="402"/>
      <c r="I116" s="402"/>
    </row>
    <row r="117" spans="1:9" ht="12.75" hidden="1">
      <c r="A117" s="21"/>
      <c r="B117" s="29">
        <v>3130</v>
      </c>
      <c r="C117" s="30" t="s">
        <v>78</v>
      </c>
      <c r="D117" s="40">
        <f>D118+D119</f>
        <v>0</v>
      </c>
      <c r="E117" s="40">
        <f>E118+E119</f>
        <v>0</v>
      </c>
      <c r="F117" s="40">
        <f>F118+F119</f>
        <v>0</v>
      </c>
      <c r="G117" s="40">
        <f>G118+G119</f>
        <v>0</v>
      </c>
      <c r="H117" s="402"/>
      <c r="I117" s="402"/>
    </row>
    <row r="118" spans="1:9" ht="12.75" hidden="1">
      <c r="A118" s="21"/>
      <c r="B118" s="29">
        <v>3131</v>
      </c>
      <c r="C118" s="30" t="s">
        <v>79</v>
      </c>
      <c r="D118" s="34">
        <f>'2019-3 СВОД'!D402</f>
        <v>0</v>
      </c>
      <c r="E118" s="34">
        <f>'2019-3 СВОД'!E402</f>
        <v>0</v>
      </c>
      <c r="F118" s="34">
        <f>'2019-3 СВОД'!F402</f>
        <v>0</v>
      </c>
      <c r="G118" s="34">
        <f>'2019-3 СВОД'!G402</f>
        <v>0</v>
      </c>
      <c r="H118" s="402"/>
      <c r="I118" s="402"/>
    </row>
    <row r="119" spans="1:9" ht="12.75" hidden="1">
      <c r="A119" s="21"/>
      <c r="B119" s="29">
        <v>3132</v>
      </c>
      <c r="C119" s="30" t="s">
        <v>80</v>
      </c>
      <c r="D119" s="34">
        <f>'2019-3 СВОД'!D403</f>
        <v>0</v>
      </c>
      <c r="E119" s="34">
        <f>'2019-3 СВОД'!E403</f>
        <v>0</v>
      </c>
      <c r="F119" s="34">
        <f>'2019-3 СВОД'!F403</f>
        <v>0</v>
      </c>
      <c r="G119" s="34">
        <f>'2019-3 СВОД'!G403</f>
        <v>0</v>
      </c>
      <c r="H119" s="402"/>
      <c r="I119" s="402"/>
    </row>
    <row r="120" spans="1:9" ht="12.75" hidden="1">
      <c r="A120" s="21"/>
      <c r="B120" s="29">
        <v>3140</v>
      </c>
      <c r="C120" s="30" t="s">
        <v>81</v>
      </c>
      <c r="D120" s="40">
        <f>D121+D122+D123</f>
        <v>0</v>
      </c>
      <c r="E120" s="40">
        <f>E121+E122+E123</f>
        <v>0</v>
      </c>
      <c r="F120" s="40">
        <f>F121+F122+F123</f>
        <v>0</v>
      </c>
      <c r="G120" s="40">
        <f>G121+G122+G123</f>
        <v>0</v>
      </c>
      <c r="H120" s="402"/>
      <c r="I120" s="402"/>
    </row>
    <row r="121" spans="1:9" ht="12.75" hidden="1">
      <c r="A121" s="21"/>
      <c r="B121" s="29">
        <v>3141</v>
      </c>
      <c r="C121" s="30" t="s">
        <v>82</v>
      </c>
      <c r="D121" s="34">
        <f>'2019-3 СВОД'!D405</f>
        <v>0</v>
      </c>
      <c r="E121" s="34">
        <f>'2019-3 СВОД'!E405</f>
        <v>0</v>
      </c>
      <c r="F121" s="34">
        <f>'2019-3 СВОД'!F405</f>
        <v>0</v>
      </c>
      <c r="G121" s="34">
        <f>'2019-3 СВОД'!G405</f>
        <v>0</v>
      </c>
      <c r="H121" s="402"/>
      <c r="I121" s="402"/>
    </row>
    <row r="122" spans="1:9" ht="12.75" hidden="1">
      <c r="A122" s="21"/>
      <c r="B122" s="29">
        <v>3142</v>
      </c>
      <c r="C122" s="30" t="s">
        <v>83</v>
      </c>
      <c r="D122" s="34">
        <f>'2019-3 СВОД'!D406</f>
        <v>0</v>
      </c>
      <c r="E122" s="34">
        <f>'2019-3 СВОД'!E406</f>
        <v>0</v>
      </c>
      <c r="F122" s="34">
        <f>'2019-3 СВОД'!F406</f>
        <v>0</v>
      </c>
      <c r="G122" s="34">
        <f>'2019-3 СВОД'!G406</f>
        <v>0</v>
      </c>
      <c r="H122" s="402"/>
      <c r="I122" s="402"/>
    </row>
    <row r="123" spans="1:9" ht="12.75" hidden="1">
      <c r="A123" s="21"/>
      <c r="B123" s="29">
        <v>3143</v>
      </c>
      <c r="C123" s="30" t="s">
        <v>84</v>
      </c>
      <c r="D123" s="34">
        <f>'2019-3 СВОД'!D407</f>
        <v>0</v>
      </c>
      <c r="E123" s="34">
        <f>'2019-3 СВОД'!E407</f>
        <v>0</v>
      </c>
      <c r="F123" s="34">
        <f>'2019-3 СВОД'!F407</f>
        <v>0</v>
      </c>
      <c r="G123" s="34">
        <f>'2019-3 СВОД'!G407</f>
        <v>0</v>
      </c>
      <c r="H123" s="402"/>
      <c r="I123" s="402"/>
    </row>
    <row r="124" spans="1:9" ht="12.75" hidden="1">
      <c r="A124" s="21"/>
      <c r="B124" s="29">
        <v>3150</v>
      </c>
      <c r="C124" s="30" t="s">
        <v>85</v>
      </c>
      <c r="D124" s="34">
        <f>'2019-3 СВОД'!D408</f>
        <v>0</v>
      </c>
      <c r="E124" s="34">
        <f>'2019-3 СВОД'!E408</f>
        <v>0</v>
      </c>
      <c r="F124" s="34">
        <f>'2019-3 СВОД'!F408</f>
        <v>0</v>
      </c>
      <c r="G124" s="34">
        <f>'2019-3 СВОД'!G408</f>
        <v>0</v>
      </c>
      <c r="H124" s="402"/>
      <c r="I124" s="402"/>
    </row>
    <row r="125" spans="1:9" ht="12.75" hidden="1">
      <c r="A125" s="21"/>
      <c r="B125" s="29">
        <v>3160</v>
      </c>
      <c r="C125" s="30" t="s">
        <v>86</v>
      </c>
      <c r="D125" s="34">
        <f>'2019-3 СВОД'!D409</f>
        <v>0</v>
      </c>
      <c r="E125" s="34">
        <f>'2019-3 СВОД'!E409</f>
        <v>0</v>
      </c>
      <c r="F125" s="34">
        <f>'2019-3 СВОД'!F409</f>
        <v>0</v>
      </c>
      <c r="G125" s="34">
        <f>'2019-3 СВОД'!G409</f>
        <v>0</v>
      </c>
      <c r="H125" s="402"/>
      <c r="I125" s="402"/>
    </row>
    <row r="126" spans="1:9" ht="12.75" hidden="1">
      <c r="A126" s="21"/>
      <c r="B126" s="27">
        <v>3200</v>
      </c>
      <c r="C126" s="28" t="s">
        <v>87</v>
      </c>
      <c r="D126" s="40">
        <f>D127+D128+D129+D130</f>
        <v>0</v>
      </c>
      <c r="E126" s="40">
        <f>E127+E128+E129+E130</f>
        <v>0</v>
      </c>
      <c r="F126" s="40">
        <f>F127+F128+F129+F130</f>
        <v>0</v>
      </c>
      <c r="G126" s="40">
        <f>G127+G128+G129+G130</f>
        <v>0</v>
      </c>
      <c r="H126" s="402"/>
      <c r="I126" s="402"/>
    </row>
    <row r="127" spans="1:9" ht="12.75" hidden="1">
      <c r="A127" s="21"/>
      <c r="B127" s="29">
        <v>3210</v>
      </c>
      <c r="C127" s="30" t="s">
        <v>88</v>
      </c>
      <c r="D127" s="34">
        <f>'2019-3 СВОД'!D411</f>
        <v>0</v>
      </c>
      <c r="E127" s="34">
        <f>'2019-3 СВОД'!E411</f>
        <v>0</v>
      </c>
      <c r="F127" s="34">
        <f>'2019-3 СВОД'!F411</f>
        <v>0</v>
      </c>
      <c r="G127" s="34">
        <f>'2019-3 СВОД'!G411</f>
        <v>0</v>
      </c>
      <c r="H127" s="402"/>
      <c r="I127" s="402"/>
    </row>
    <row r="128" spans="1:9" ht="12.75" hidden="1">
      <c r="A128" s="21"/>
      <c r="B128" s="29">
        <v>3220</v>
      </c>
      <c r="C128" s="30" t="s">
        <v>89</v>
      </c>
      <c r="D128" s="34">
        <f>'2019-3 СВОД'!D412</f>
        <v>0</v>
      </c>
      <c r="E128" s="34">
        <f>'2019-3 СВОД'!E412</f>
        <v>0</v>
      </c>
      <c r="F128" s="34">
        <f>'2019-3 СВОД'!F412</f>
        <v>0</v>
      </c>
      <c r="G128" s="34">
        <f>'2019-3 СВОД'!G412</f>
        <v>0</v>
      </c>
      <c r="H128" s="402"/>
      <c r="I128" s="402"/>
    </row>
    <row r="129" spans="1:9" ht="12.75" hidden="1">
      <c r="A129" s="21"/>
      <c r="B129" s="29">
        <v>3230</v>
      </c>
      <c r="C129" s="30" t="s">
        <v>90</v>
      </c>
      <c r="D129" s="34">
        <f>'2019-3 СВОД'!D413</f>
        <v>0</v>
      </c>
      <c r="E129" s="34">
        <f>'2019-3 СВОД'!E413</f>
        <v>0</v>
      </c>
      <c r="F129" s="34">
        <f>'2019-3 СВОД'!F413</f>
        <v>0</v>
      </c>
      <c r="G129" s="34">
        <f>'2019-3 СВОД'!G413</f>
        <v>0</v>
      </c>
      <c r="H129" s="402"/>
      <c r="I129" s="402"/>
    </row>
    <row r="130" spans="1:9" ht="13.5" customHeight="1" hidden="1">
      <c r="A130" s="21"/>
      <c r="B130" s="29">
        <v>3240</v>
      </c>
      <c r="C130" s="30" t="s">
        <v>91</v>
      </c>
      <c r="D130" s="34">
        <f>'2019-3 СВОД'!D414</f>
        <v>0</v>
      </c>
      <c r="E130" s="34">
        <f>'2019-3 СВОД'!E414</f>
        <v>0</v>
      </c>
      <c r="F130" s="34">
        <f>'2019-3 СВОД'!F414</f>
        <v>0</v>
      </c>
      <c r="G130" s="34">
        <f>'2019-3 СВОД'!G414</f>
        <v>0</v>
      </c>
      <c r="H130" s="402"/>
      <c r="I130" s="402"/>
    </row>
    <row r="131" spans="1:9" s="19" customFormat="1" ht="13.5" customHeight="1">
      <c r="A131" s="7"/>
      <c r="B131" s="7"/>
      <c r="C131" s="20" t="s">
        <v>3</v>
      </c>
      <c r="D131" s="34">
        <f>D76+D111</f>
        <v>2284.2</v>
      </c>
      <c r="E131" s="34">
        <f>E76+E111</f>
        <v>5751.8</v>
      </c>
      <c r="F131" s="34">
        <f>F76+F111</f>
        <v>2999.8999999999996</v>
      </c>
      <c r="G131" s="34">
        <f>G76+G111</f>
        <v>3128</v>
      </c>
      <c r="H131" s="402"/>
      <c r="I131" s="402"/>
    </row>
    <row r="132" spans="1:8" ht="15">
      <c r="A132" s="115" t="s">
        <v>209</v>
      </c>
      <c r="B132" s="115" t="s">
        <v>209</v>
      </c>
      <c r="C132" s="115"/>
      <c r="D132" s="115"/>
      <c r="E132" s="115"/>
      <c r="F132" s="115"/>
      <c r="G132" s="115"/>
      <c r="H132" s="121"/>
    </row>
    <row r="133" spans="1:9" ht="15" customHeight="1">
      <c r="A133" s="444" t="s">
        <v>25</v>
      </c>
      <c r="B133" s="444"/>
      <c r="C133" s="444"/>
      <c r="D133" s="444"/>
      <c r="E133" s="444"/>
      <c r="F133" s="444"/>
      <c r="G133" s="444"/>
      <c r="H133" s="444"/>
      <c r="I133" s="444"/>
    </row>
    <row r="134" spans="1:9" ht="30" customHeight="1">
      <c r="A134" s="14" t="s">
        <v>20</v>
      </c>
      <c r="B134" s="8" t="s">
        <v>0</v>
      </c>
      <c r="C134" s="14" t="s">
        <v>1</v>
      </c>
      <c r="D134" s="14" t="s">
        <v>14</v>
      </c>
      <c r="E134" s="441" t="s">
        <v>15</v>
      </c>
      <c r="F134" s="441"/>
      <c r="G134" s="441"/>
      <c r="H134" s="14" t="s">
        <v>214</v>
      </c>
      <c r="I134" s="14" t="s">
        <v>215</v>
      </c>
    </row>
    <row r="135" spans="1:9" ht="13.5" thickBot="1">
      <c r="A135" s="17">
        <v>1</v>
      </c>
      <c r="B135" s="17">
        <v>1</v>
      </c>
      <c r="C135" s="38">
        <v>2</v>
      </c>
      <c r="D135" s="38">
        <v>3</v>
      </c>
      <c r="E135" s="427">
        <v>4</v>
      </c>
      <c r="F135" s="427"/>
      <c r="G135" s="427"/>
      <c r="H135" s="38">
        <v>5</v>
      </c>
      <c r="I135" s="38">
        <v>6</v>
      </c>
    </row>
    <row r="136" spans="1:10" s="55" customFormat="1" ht="13.5" thickTop="1">
      <c r="A136" s="54"/>
      <c r="B136" s="304">
        <v>1113130</v>
      </c>
      <c r="C136" s="300" t="s">
        <v>502</v>
      </c>
      <c r="D136" s="305"/>
      <c r="E136" s="451"/>
      <c r="F136" s="451"/>
      <c r="G136" s="451"/>
      <c r="H136" s="305"/>
      <c r="I136" s="305"/>
      <c r="J136" s="303"/>
    </row>
    <row r="137" spans="1:10" s="153" customFormat="1" ht="12.75">
      <c r="A137" s="68"/>
      <c r="B137" s="304">
        <v>1113131</v>
      </c>
      <c r="C137" s="477" t="s">
        <v>503</v>
      </c>
      <c r="D137" s="478"/>
      <c r="E137" s="478"/>
      <c r="F137" s="478"/>
      <c r="G137" s="478"/>
      <c r="H137" s="478"/>
      <c r="I137" s="479"/>
      <c r="J137" s="303"/>
    </row>
    <row r="138" spans="1:10" s="60" customFormat="1" ht="12.75">
      <c r="A138" s="58"/>
      <c r="B138" s="313"/>
      <c r="C138" s="455" t="s">
        <v>504</v>
      </c>
      <c r="D138" s="456"/>
      <c r="E138" s="456"/>
      <c r="F138" s="456"/>
      <c r="G138" s="456"/>
      <c r="H138" s="456"/>
      <c r="I138" s="457"/>
      <c r="J138" s="302"/>
    </row>
    <row r="139" spans="1:10" s="60" customFormat="1" ht="12.75" customHeight="1">
      <c r="A139" s="58"/>
      <c r="B139" s="301"/>
      <c r="C139" s="61" t="s">
        <v>126</v>
      </c>
      <c r="D139" s="62"/>
      <c r="E139" s="427"/>
      <c r="F139" s="427"/>
      <c r="G139" s="427"/>
      <c r="H139" s="307"/>
      <c r="I139" s="307"/>
      <c r="J139" s="308"/>
    </row>
    <row r="140" spans="1:10" s="60" customFormat="1" ht="12.75" customHeight="1">
      <c r="A140" s="58"/>
      <c r="B140" s="301"/>
      <c r="C140" s="63" t="s">
        <v>505</v>
      </c>
      <c r="D140" s="53" t="s">
        <v>124</v>
      </c>
      <c r="E140" s="452" t="s">
        <v>270</v>
      </c>
      <c r="F140" s="453"/>
      <c r="G140" s="454"/>
      <c r="H140" s="307">
        <v>79</v>
      </c>
      <c r="I140" s="307">
        <v>79</v>
      </c>
      <c r="J140" s="308"/>
    </row>
    <row r="141" spans="1:10" s="296" customFormat="1" ht="12.75">
      <c r="A141" s="294"/>
      <c r="B141" s="301"/>
      <c r="C141" s="61" t="s">
        <v>136</v>
      </c>
      <c r="D141" s="62" t="s">
        <v>125</v>
      </c>
      <c r="E141" s="427"/>
      <c r="F141" s="427"/>
      <c r="G141" s="427"/>
      <c r="H141" s="307"/>
      <c r="I141" s="307">
        <v>0</v>
      </c>
      <c r="J141" s="308"/>
    </row>
    <row r="142" spans="1:10" s="296" customFormat="1" ht="12.75">
      <c r="A142" s="294"/>
      <c r="B142" s="301"/>
      <c r="C142" s="63" t="s">
        <v>506</v>
      </c>
      <c r="D142" s="53" t="s">
        <v>138</v>
      </c>
      <c r="E142" s="452" t="s">
        <v>270</v>
      </c>
      <c r="F142" s="453"/>
      <c r="G142" s="454"/>
      <c r="H142" s="307">
        <v>7600</v>
      </c>
      <c r="I142" s="307">
        <v>7600</v>
      </c>
      <c r="J142" s="308">
        <v>353.33333333333337</v>
      </c>
    </row>
    <row r="143" spans="1:10" s="296" customFormat="1" ht="12.75">
      <c r="A143" s="294"/>
      <c r="B143" s="301"/>
      <c r="C143" s="61" t="s">
        <v>143</v>
      </c>
      <c r="D143" s="62" t="s">
        <v>125</v>
      </c>
      <c r="E143" s="427"/>
      <c r="F143" s="427"/>
      <c r="G143" s="427"/>
      <c r="H143" s="307"/>
      <c r="I143" s="307"/>
      <c r="J143" s="308"/>
    </row>
    <row r="144" spans="1:10" s="296" customFormat="1" ht="12.75">
      <c r="A144" s="294"/>
      <c r="B144" s="301"/>
      <c r="C144" s="63" t="s">
        <v>507</v>
      </c>
      <c r="D144" s="53" t="s">
        <v>145</v>
      </c>
      <c r="E144" s="452" t="s">
        <v>146</v>
      </c>
      <c r="F144" s="453"/>
      <c r="G144" s="454"/>
      <c r="H144" s="312">
        <v>21564.55696202532</v>
      </c>
      <c r="I144" s="312">
        <v>21564.55696202532</v>
      </c>
      <c r="J144" s="308"/>
    </row>
    <row r="145" spans="1:9" s="296" customFormat="1" ht="26.25">
      <c r="A145" s="294"/>
      <c r="B145" s="301"/>
      <c r="C145" s="63" t="s">
        <v>508</v>
      </c>
      <c r="D145" s="53" t="s">
        <v>145</v>
      </c>
      <c r="E145" s="452" t="s">
        <v>146</v>
      </c>
      <c r="F145" s="453"/>
      <c r="G145" s="454"/>
      <c r="H145" s="312">
        <v>224.1578947368421</v>
      </c>
      <c r="I145" s="312">
        <v>224.1578947368421</v>
      </c>
    </row>
    <row r="146" spans="1:9" s="296" customFormat="1" ht="12.75">
      <c r="A146" s="294"/>
      <c r="B146" s="301"/>
      <c r="C146" s="61" t="s">
        <v>147</v>
      </c>
      <c r="D146" s="62" t="s">
        <v>125</v>
      </c>
      <c r="E146" s="427"/>
      <c r="F146" s="427"/>
      <c r="G146" s="427"/>
      <c r="H146" s="307"/>
      <c r="I146" s="307">
        <v>0</v>
      </c>
    </row>
    <row r="147" spans="1:9" s="296" customFormat="1" ht="26.25">
      <c r="A147" s="294"/>
      <c r="B147" s="301"/>
      <c r="C147" s="63" t="s">
        <v>509</v>
      </c>
      <c r="D147" s="53" t="s">
        <v>123</v>
      </c>
      <c r="E147" s="452" t="s">
        <v>146</v>
      </c>
      <c r="F147" s="453"/>
      <c r="G147" s="454"/>
      <c r="H147" s="307">
        <v>100</v>
      </c>
      <c r="I147" s="307">
        <v>100</v>
      </c>
    </row>
    <row r="148" spans="1:9" s="296" customFormat="1" ht="12.75">
      <c r="A148" s="294"/>
      <c r="B148" s="304">
        <v>1113133</v>
      </c>
      <c r="C148" s="477" t="s">
        <v>510</v>
      </c>
      <c r="D148" s="478"/>
      <c r="E148" s="478"/>
      <c r="F148" s="478"/>
      <c r="G148" s="478"/>
      <c r="H148" s="478"/>
      <c r="I148" s="479"/>
    </row>
    <row r="149" spans="1:9" s="296" customFormat="1" ht="12.75">
      <c r="A149" s="294"/>
      <c r="B149" s="313"/>
      <c r="C149" s="455" t="s">
        <v>511</v>
      </c>
      <c r="D149" s="456"/>
      <c r="E149" s="456"/>
      <c r="F149" s="456"/>
      <c r="G149" s="456"/>
      <c r="H149" s="456"/>
      <c r="I149" s="457"/>
    </row>
    <row r="150" spans="1:9" s="296" customFormat="1" ht="12.75">
      <c r="A150" s="294"/>
      <c r="B150" s="301"/>
      <c r="C150" s="61" t="s">
        <v>126</v>
      </c>
      <c r="D150" s="62" t="s">
        <v>125</v>
      </c>
      <c r="E150" s="427"/>
      <c r="F150" s="427"/>
      <c r="G150" s="427"/>
      <c r="H150" s="307"/>
      <c r="I150" s="307"/>
    </row>
    <row r="151" spans="1:9" s="296" customFormat="1" ht="12.75">
      <c r="A151" s="294"/>
      <c r="B151" s="301"/>
      <c r="C151" s="309" t="s">
        <v>512</v>
      </c>
      <c r="D151" s="310" t="s">
        <v>124</v>
      </c>
      <c r="E151" s="448" t="s">
        <v>513</v>
      </c>
      <c r="F151" s="449" t="s">
        <v>513</v>
      </c>
      <c r="G151" s="450" t="s">
        <v>513</v>
      </c>
      <c r="H151" s="307">
        <v>1</v>
      </c>
      <c r="I151" s="312">
        <v>1</v>
      </c>
    </row>
    <row r="152" spans="1:9" s="296" customFormat="1" ht="12.75">
      <c r="A152" s="294"/>
      <c r="B152" s="301"/>
      <c r="C152" s="309" t="s">
        <v>514</v>
      </c>
      <c r="D152" s="310" t="s">
        <v>260</v>
      </c>
      <c r="E152" s="448" t="s">
        <v>515</v>
      </c>
      <c r="F152" s="449"/>
      <c r="G152" s="450"/>
      <c r="H152" s="307">
        <v>27</v>
      </c>
      <c r="I152" s="312">
        <v>27</v>
      </c>
    </row>
    <row r="153" spans="1:9" s="296" customFormat="1" ht="12.75">
      <c r="A153" s="294"/>
      <c r="B153" s="301"/>
      <c r="C153" s="61" t="s">
        <v>136</v>
      </c>
      <c r="D153" s="62" t="s">
        <v>125</v>
      </c>
      <c r="E153" s="427"/>
      <c r="F153" s="427"/>
      <c r="G153" s="427"/>
      <c r="H153" s="307"/>
      <c r="I153" s="312">
        <v>0</v>
      </c>
    </row>
    <row r="154" spans="1:9" s="296" customFormat="1" ht="12.75">
      <c r="A154" s="294"/>
      <c r="B154" s="301"/>
      <c r="C154" s="309" t="s">
        <v>516</v>
      </c>
      <c r="D154" s="310" t="s">
        <v>260</v>
      </c>
      <c r="E154" s="448" t="s">
        <v>517</v>
      </c>
      <c r="F154" s="449" t="s">
        <v>517</v>
      </c>
      <c r="G154" s="450" t="s">
        <v>517</v>
      </c>
      <c r="H154" s="307">
        <v>700</v>
      </c>
      <c r="I154" s="312">
        <v>700</v>
      </c>
    </row>
    <row r="155" spans="1:9" s="296" customFormat="1" ht="12.75">
      <c r="A155" s="294"/>
      <c r="B155" s="301"/>
      <c r="C155" s="309" t="s">
        <v>518</v>
      </c>
      <c r="D155" s="310"/>
      <c r="E155" s="314"/>
      <c r="F155" s="315"/>
      <c r="G155" s="316"/>
      <c r="H155" s="307"/>
      <c r="I155" s="312"/>
    </row>
    <row r="156" spans="1:9" s="296" customFormat="1" ht="12.75">
      <c r="A156" s="294"/>
      <c r="B156" s="301"/>
      <c r="C156" s="309" t="s">
        <v>519</v>
      </c>
      <c r="D156" s="310" t="s">
        <v>260</v>
      </c>
      <c r="E156" s="448" t="s">
        <v>517</v>
      </c>
      <c r="F156" s="449"/>
      <c r="G156" s="450"/>
      <c r="H156" s="307">
        <v>350</v>
      </c>
      <c r="I156" s="312">
        <v>350</v>
      </c>
    </row>
    <row r="157" spans="1:9" s="296" customFormat="1" ht="12.75">
      <c r="A157" s="294"/>
      <c r="B157" s="301"/>
      <c r="C157" s="309" t="s">
        <v>520</v>
      </c>
      <c r="D157" s="310" t="s">
        <v>124</v>
      </c>
      <c r="E157" s="448" t="s">
        <v>513</v>
      </c>
      <c r="F157" s="449"/>
      <c r="G157" s="450"/>
      <c r="H157" s="307">
        <v>100</v>
      </c>
      <c r="I157" s="312">
        <v>100</v>
      </c>
    </row>
    <row r="158" spans="1:9" s="296" customFormat="1" ht="12.75">
      <c r="A158" s="294"/>
      <c r="B158" s="301"/>
      <c r="C158" s="61" t="s">
        <v>143</v>
      </c>
      <c r="D158" s="62" t="s">
        <v>125</v>
      </c>
      <c r="E158" s="427"/>
      <c r="F158" s="427"/>
      <c r="G158" s="427"/>
      <c r="H158" s="307"/>
      <c r="I158" s="312"/>
    </row>
    <row r="159" spans="1:9" s="296" customFormat="1" ht="26.25">
      <c r="A159" s="294"/>
      <c r="B159" s="301"/>
      <c r="C159" s="200" t="s">
        <v>521</v>
      </c>
      <c r="D159" s="62" t="s">
        <v>145</v>
      </c>
      <c r="E159" s="468" t="s">
        <v>522</v>
      </c>
      <c r="F159" s="469"/>
      <c r="G159" s="470"/>
      <c r="H159" s="312">
        <v>3827.2857142857138</v>
      </c>
      <c r="I159" s="312">
        <f>H159</f>
        <v>3827.2857142857138</v>
      </c>
    </row>
    <row r="160" spans="1:9" s="296" customFormat="1" ht="12.75">
      <c r="A160" s="294"/>
      <c r="B160" s="301"/>
      <c r="C160" s="309" t="s">
        <v>523</v>
      </c>
      <c r="D160" s="310" t="s">
        <v>524</v>
      </c>
      <c r="E160" s="452" t="s">
        <v>522</v>
      </c>
      <c r="F160" s="453"/>
      <c r="G160" s="454"/>
      <c r="H160" s="307">
        <v>26999</v>
      </c>
      <c r="I160" s="307">
        <f>H160</f>
        <v>26999</v>
      </c>
    </row>
    <row r="161" spans="1:10" s="296" customFormat="1" ht="12.75">
      <c r="A161" s="294"/>
      <c r="B161" s="301"/>
      <c r="C161" s="61" t="s">
        <v>147</v>
      </c>
      <c r="D161" s="62" t="s">
        <v>125</v>
      </c>
      <c r="E161" s="427"/>
      <c r="F161" s="427"/>
      <c r="G161" s="427"/>
      <c r="H161" s="307"/>
      <c r="I161" s="312"/>
      <c r="J161" s="308"/>
    </row>
    <row r="162" spans="1:10" s="296" customFormat="1" ht="26.25">
      <c r="A162" s="294"/>
      <c r="B162" s="301"/>
      <c r="C162" s="200" t="s">
        <v>525</v>
      </c>
      <c r="D162" s="62" t="s">
        <v>123</v>
      </c>
      <c r="E162" s="468" t="s">
        <v>270</v>
      </c>
      <c r="F162" s="469"/>
      <c r="G162" s="470"/>
      <c r="H162" s="311">
        <v>0.06562897875683713</v>
      </c>
      <c r="I162" s="311">
        <v>0.06562897875683713</v>
      </c>
      <c r="J162" s="308"/>
    </row>
    <row r="163" spans="1:10" s="296" customFormat="1" ht="12.75">
      <c r="A163" s="294"/>
      <c r="B163" s="301"/>
      <c r="C163" s="200" t="s">
        <v>376</v>
      </c>
      <c r="D163" s="62"/>
      <c r="E163" s="468"/>
      <c r="F163" s="469"/>
      <c r="G163" s="470"/>
      <c r="H163" s="307"/>
      <c r="I163" s="311"/>
      <c r="J163" s="308"/>
    </row>
    <row r="164" spans="1:10" s="296" customFormat="1" ht="12.75">
      <c r="A164" s="294"/>
      <c r="B164" s="301"/>
      <c r="C164" s="200" t="s">
        <v>519</v>
      </c>
      <c r="D164" s="62" t="s">
        <v>123</v>
      </c>
      <c r="E164" s="468" t="s">
        <v>270</v>
      </c>
      <c r="F164" s="469"/>
      <c r="G164" s="470"/>
      <c r="H164" s="311">
        <v>0.03281448937841856</v>
      </c>
      <c r="I164" s="311">
        <v>0.03281448937841856</v>
      </c>
      <c r="J164" s="308"/>
    </row>
    <row r="165" spans="1:10" s="296" customFormat="1" ht="26.25">
      <c r="A165" s="294"/>
      <c r="B165" s="301"/>
      <c r="C165" s="200" t="s">
        <v>526</v>
      </c>
      <c r="D165" s="62" t="s">
        <v>123</v>
      </c>
      <c r="E165" s="468" t="s">
        <v>270</v>
      </c>
      <c r="F165" s="469"/>
      <c r="G165" s="470"/>
      <c r="H165" s="307">
        <v>100</v>
      </c>
      <c r="I165" s="311">
        <v>100</v>
      </c>
      <c r="J165" s="308"/>
    </row>
    <row r="166" spans="1:10" s="60" customFormat="1" ht="12.75">
      <c r="A166" s="58"/>
      <c r="B166" s="301"/>
      <c r="C166" s="200" t="s">
        <v>376</v>
      </c>
      <c r="D166" s="62"/>
      <c r="E166" s="468"/>
      <c r="F166" s="469"/>
      <c r="G166" s="470"/>
      <c r="H166" s="307"/>
      <c r="I166" s="311"/>
      <c r="J166" s="308"/>
    </row>
    <row r="167" spans="1:10" s="60" customFormat="1" ht="12.75">
      <c r="A167" s="58"/>
      <c r="B167" s="301"/>
      <c r="C167" s="309" t="s">
        <v>519</v>
      </c>
      <c r="D167" s="310" t="s">
        <v>123</v>
      </c>
      <c r="E167" s="448" t="s">
        <v>270</v>
      </c>
      <c r="F167" s="449"/>
      <c r="G167" s="450"/>
      <c r="H167" s="307">
        <v>50</v>
      </c>
      <c r="I167" s="312">
        <v>50</v>
      </c>
      <c r="J167" s="308"/>
    </row>
    <row r="168" spans="1:10" s="60" customFormat="1" ht="12.75" customHeight="1">
      <c r="A168" s="58"/>
      <c r="B168" s="313"/>
      <c r="C168" s="455" t="s">
        <v>527</v>
      </c>
      <c r="D168" s="456"/>
      <c r="E168" s="456"/>
      <c r="F168" s="456"/>
      <c r="G168" s="456"/>
      <c r="H168" s="456"/>
      <c r="I168" s="457"/>
      <c r="J168" s="302"/>
    </row>
    <row r="169" spans="1:10" s="60" customFormat="1" ht="12.75" customHeight="1">
      <c r="A169" s="58"/>
      <c r="B169" s="301"/>
      <c r="C169" s="317" t="s">
        <v>327</v>
      </c>
      <c r="D169" s="310"/>
      <c r="E169" s="448"/>
      <c r="F169" s="449"/>
      <c r="G169" s="450"/>
      <c r="H169" s="307"/>
      <c r="I169" s="312"/>
      <c r="J169" s="308"/>
    </row>
    <row r="170" spans="1:10" s="60" customFormat="1" ht="12.75" customHeight="1">
      <c r="A170" s="58"/>
      <c r="B170" s="301"/>
      <c r="C170" s="309" t="s">
        <v>528</v>
      </c>
      <c r="D170" s="310" t="s">
        <v>124</v>
      </c>
      <c r="E170" s="480" t="s">
        <v>270</v>
      </c>
      <c r="F170" s="480" t="s">
        <v>529</v>
      </c>
      <c r="G170" s="480" t="s">
        <v>529</v>
      </c>
      <c r="H170" s="307">
        <v>15</v>
      </c>
      <c r="I170" s="312">
        <v>15</v>
      </c>
      <c r="J170" s="320"/>
    </row>
    <row r="171" spans="1:10" s="60" customFormat="1" ht="12.75">
      <c r="A171" s="58"/>
      <c r="B171" s="301"/>
      <c r="C171" s="317" t="s">
        <v>329</v>
      </c>
      <c r="D171" s="310" t="s">
        <v>125</v>
      </c>
      <c r="E171" s="480" t="s">
        <v>125</v>
      </c>
      <c r="F171" s="480" t="s">
        <v>125</v>
      </c>
      <c r="G171" s="480" t="s">
        <v>125</v>
      </c>
      <c r="H171" s="480"/>
      <c r="I171" s="480" t="s">
        <v>125</v>
      </c>
      <c r="J171" s="480" t="s">
        <v>125</v>
      </c>
    </row>
    <row r="172" spans="1:10" s="60" customFormat="1" ht="12.75" customHeight="1">
      <c r="A172" s="58"/>
      <c r="B172" s="301"/>
      <c r="C172" s="309" t="s">
        <v>530</v>
      </c>
      <c r="D172" s="310" t="s">
        <v>531</v>
      </c>
      <c r="E172" s="480" t="s">
        <v>270</v>
      </c>
      <c r="F172" s="480" t="s">
        <v>529</v>
      </c>
      <c r="G172" s="480" t="s">
        <v>529</v>
      </c>
      <c r="H172" s="307">
        <v>24</v>
      </c>
      <c r="I172" s="312">
        <v>24</v>
      </c>
      <c r="J172" s="320"/>
    </row>
    <row r="173" spans="1:10" s="60" customFormat="1" ht="12.75" customHeight="1">
      <c r="A173" s="58"/>
      <c r="B173" s="301"/>
      <c r="C173" s="317" t="s">
        <v>331</v>
      </c>
      <c r="D173" s="310" t="s">
        <v>125</v>
      </c>
      <c r="E173" s="448" t="s">
        <v>125</v>
      </c>
      <c r="F173" s="449" t="s">
        <v>125</v>
      </c>
      <c r="G173" s="450" t="s">
        <v>125</v>
      </c>
      <c r="H173" s="318"/>
      <c r="I173" s="319"/>
      <c r="J173" s="308"/>
    </row>
    <row r="174" spans="1:10" s="60" customFormat="1" ht="12.75" customHeight="1">
      <c r="A174" s="58"/>
      <c r="B174" s="301"/>
      <c r="C174" s="309" t="s">
        <v>532</v>
      </c>
      <c r="D174" s="310" t="s">
        <v>145</v>
      </c>
      <c r="E174" s="448" t="s">
        <v>522</v>
      </c>
      <c r="F174" s="449" t="s">
        <v>522</v>
      </c>
      <c r="G174" s="450" t="s">
        <v>522</v>
      </c>
      <c r="H174" s="307">
        <v>12500</v>
      </c>
      <c r="I174" s="312">
        <v>12500</v>
      </c>
      <c r="J174" s="308"/>
    </row>
    <row r="175" spans="1:10" s="60" customFormat="1" ht="12.75" customHeight="1">
      <c r="A175" s="58"/>
      <c r="B175" s="301"/>
      <c r="C175" s="317" t="s">
        <v>333</v>
      </c>
      <c r="D175" s="310" t="s">
        <v>125</v>
      </c>
      <c r="E175" s="448" t="s">
        <v>125</v>
      </c>
      <c r="F175" s="449" t="s">
        <v>125</v>
      </c>
      <c r="G175" s="450" t="s">
        <v>125</v>
      </c>
      <c r="H175" s="307"/>
      <c r="I175" s="312"/>
      <c r="J175" s="308"/>
    </row>
    <row r="176" spans="1:10" s="60" customFormat="1" ht="12.75" customHeight="1">
      <c r="A176" s="58"/>
      <c r="B176" s="301"/>
      <c r="C176" s="309" t="s">
        <v>533</v>
      </c>
      <c r="D176" s="310" t="s">
        <v>123</v>
      </c>
      <c r="E176" s="448" t="s">
        <v>270</v>
      </c>
      <c r="F176" s="449" t="s">
        <v>270</v>
      </c>
      <c r="G176" s="450" t="s">
        <v>270</v>
      </c>
      <c r="H176" s="307">
        <v>100</v>
      </c>
      <c r="I176" s="312">
        <v>100</v>
      </c>
      <c r="J176" s="308"/>
    </row>
    <row r="177" spans="1:10" s="60" customFormat="1" ht="12.75">
      <c r="A177" s="58"/>
      <c r="B177" s="313"/>
      <c r="C177" s="455" t="s">
        <v>534</v>
      </c>
      <c r="D177" s="456"/>
      <c r="E177" s="456"/>
      <c r="F177" s="456"/>
      <c r="G177" s="456"/>
      <c r="H177" s="456"/>
      <c r="I177" s="457"/>
      <c r="J177" s="296"/>
    </row>
    <row r="178" spans="1:10" s="60" customFormat="1" ht="12.75" customHeight="1">
      <c r="A178" s="58"/>
      <c r="B178" s="301"/>
      <c r="C178" s="317" t="s">
        <v>327</v>
      </c>
      <c r="D178" s="310"/>
      <c r="E178" s="314"/>
      <c r="F178" s="315"/>
      <c r="G178" s="316"/>
      <c r="H178" s="307"/>
      <c r="I178" s="312"/>
      <c r="J178" s="296"/>
    </row>
    <row r="179" spans="1:10" s="60" customFormat="1" ht="12.75">
      <c r="A179" s="58"/>
      <c r="B179" s="301"/>
      <c r="C179" s="309" t="s">
        <v>535</v>
      </c>
      <c r="D179" s="310" t="s">
        <v>145</v>
      </c>
      <c r="E179" s="448" t="s">
        <v>270</v>
      </c>
      <c r="F179" s="449"/>
      <c r="G179" s="450"/>
      <c r="H179" s="307"/>
      <c r="I179" s="312">
        <v>3000000</v>
      </c>
      <c r="J179" s="296"/>
    </row>
    <row r="180" spans="1:10" s="60" customFormat="1" ht="12.75" customHeight="1">
      <c r="A180" s="58"/>
      <c r="B180" s="301"/>
      <c r="C180" s="317" t="s">
        <v>329</v>
      </c>
      <c r="D180" s="310" t="s">
        <v>125</v>
      </c>
      <c r="E180" s="448" t="s">
        <v>125</v>
      </c>
      <c r="F180" s="449"/>
      <c r="G180" s="450"/>
      <c r="H180" s="307"/>
      <c r="I180" s="312"/>
      <c r="J180" s="296"/>
    </row>
    <row r="181" spans="1:10" s="153" customFormat="1" ht="12.75" customHeight="1">
      <c r="A181" s="68"/>
      <c r="B181" s="301"/>
      <c r="C181" s="309" t="s">
        <v>536</v>
      </c>
      <c r="D181" s="310" t="s">
        <v>260</v>
      </c>
      <c r="E181" s="448" t="s">
        <v>517</v>
      </c>
      <c r="F181" s="449"/>
      <c r="G181" s="450"/>
      <c r="H181" s="307"/>
      <c r="I181" s="312">
        <v>600</v>
      </c>
      <c r="J181" s="291"/>
    </row>
    <row r="182" spans="1:10" s="60" customFormat="1" ht="12.75">
      <c r="A182" s="58"/>
      <c r="B182" s="301"/>
      <c r="C182" s="317" t="s">
        <v>331</v>
      </c>
      <c r="D182" s="310" t="s">
        <v>125</v>
      </c>
      <c r="E182" s="448" t="s">
        <v>125</v>
      </c>
      <c r="F182" s="449"/>
      <c r="G182" s="450"/>
      <c r="H182" s="307"/>
      <c r="I182" s="312"/>
      <c r="J182" s="296"/>
    </row>
    <row r="183" spans="1:10" s="60" customFormat="1" ht="12.75" customHeight="1">
      <c r="A183" s="58"/>
      <c r="B183" s="301"/>
      <c r="C183" s="309" t="s">
        <v>537</v>
      </c>
      <c r="D183" s="310" t="s">
        <v>145</v>
      </c>
      <c r="E183" s="448" t="s">
        <v>522</v>
      </c>
      <c r="F183" s="449"/>
      <c r="G183" s="450"/>
      <c r="H183" s="307"/>
      <c r="I183" s="312">
        <v>5000</v>
      </c>
      <c r="J183" s="296"/>
    </row>
    <row r="184" spans="1:10" s="60" customFormat="1" ht="12.75">
      <c r="A184" s="58"/>
      <c r="B184" s="301"/>
      <c r="C184" s="317" t="s">
        <v>333</v>
      </c>
      <c r="D184" s="310" t="s">
        <v>125</v>
      </c>
      <c r="E184" s="448" t="s">
        <v>125</v>
      </c>
      <c r="F184" s="449" t="s">
        <v>125</v>
      </c>
      <c r="G184" s="450" t="s">
        <v>125</v>
      </c>
      <c r="H184" s="307"/>
      <c r="I184" s="312"/>
      <c r="J184" s="296"/>
    </row>
    <row r="185" spans="1:10" s="60" customFormat="1" ht="12.75" customHeight="1">
      <c r="A185" s="58"/>
      <c r="B185" s="301"/>
      <c r="C185" s="309" t="s">
        <v>538</v>
      </c>
      <c r="D185" s="310" t="s">
        <v>123</v>
      </c>
      <c r="E185" s="448" t="s">
        <v>270</v>
      </c>
      <c r="F185" s="449" t="s">
        <v>270</v>
      </c>
      <c r="G185" s="450" t="s">
        <v>270</v>
      </c>
      <c r="H185" s="307"/>
      <c r="I185" s="312">
        <v>100</v>
      </c>
      <c r="J185" s="296"/>
    </row>
    <row r="186" ht="12.75">
      <c r="A186" s="22"/>
    </row>
    <row r="187" spans="1:9" ht="30.75" customHeight="1">
      <c r="A187" s="444" t="s">
        <v>27</v>
      </c>
      <c r="B187" s="444"/>
      <c r="C187" s="444"/>
      <c r="D187" s="444"/>
      <c r="E187" s="444"/>
      <c r="F187" s="444"/>
      <c r="G187" s="444"/>
      <c r="H187" s="444"/>
      <c r="I187" s="444"/>
    </row>
    <row r="188" spans="1:9" ht="15">
      <c r="A188" s="446"/>
      <c r="B188" s="446"/>
      <c r="C188" s="446"/>
      <c r="D188" s="446"/>
      <c r="E188" s="446"/>
      <c r="F188" s="446"/>
      <c r="G188" s="446"/>
      <c r="H188" s="446"/>
      <c r="I188" s="446"/>
    </row>
    <row r="189" spans="1:9" ht="15">
      <c r="A189" s="446"/>
      <c r="B189" s="446"/>
      <c r="C189" s="446"/>
      <c r="D189" s="446"/>
      <c r="E189" s="446"/>
      <c r="F189" s="446"/>
      <c r="G189" s="446"/>
      <c r="H189" s="446"/>
      <c r="I189" s="446"/>
    </row>
    <row r="190" spans="1:9" ht="15">
      <c r="A190" s="442" t="s">
        <v>210</v>
      </c>
      <c r="B190" s="442"/>
      <c r="C190" s="442"/>
      <c r="D190" s="442"/>
      <c r="E190" s="442"/>
      <c r="F190" s="442"/>
      <c r="G190" s="442"/>
      <c r="H190" s="442"/>
      <c r="I190" s="442"/>
    </row>
    <row r="191" ht="12.75">
      <c r="I191" s="2" t="s">
        <v>4</v>
      </c>
    </row>
    <row r="192" spans="1:9" s="19" customFormat="1" ht="12.75">
      <c r="A192" s="443" t="s">
        <v>3</v>
      </c>
      <c r="B192" s="443"/>
      <c r="C192" s="23"/>
      <c r="D192" s="18"/>
      <c r="E192" s="18"/>
      <c r="F192" s="18"/>
      <c r="G192" s="18"/>
      <c r="H192" s="443"/>
      <c r="I192" s="443"/>
    </row>
    <row r="193" ht="12.75">
      <c r="A193" s="3"/>
    </row>
    <row r="194" spans="1:9" ht="30.75" customHeight="1">
      <c r="A194" s="444" t="s">
        <v>211</v>
      </c>
      <c r="B194" s="444"/>
      <c r="C194" s="444"/>
      <c r="D194" s="444"/>
      <c r="E194" s="444"/>
      <c r="F194" s="444"/>
      <c r="G194" s="444"/>
      <c r="H194" s="444"/>
      <c r="I194" s="444"/>
    </row>
    <row r="195" ht="12.75">
      <c r="I195" s="2" t="s">
        <v>4</v>
      </c>
    </row>
    <row r="196" spans="1:9" ht="36.75" customHeight="1">
      <c r="A196" s="441" t="s">
        <v>23</v>
      </c>
      <c r="B196" s="441"/>
      <c r="C196" s="441" t="s">
        <v>1</v>
      </c>
      <c r="D196" s="441" t="s">
        <v>7</v>
      </c>
      <c r="E196" s="441"/>
      <c r="F196" s="441" t="s">
        <v>178</v>
      </c>
      <c r="G196" s="441"/>
      <c r="H196" s="441" t="s">
        <v>212</v>
      </c>
      <c r="I196" s="441"/>
    </row>
    <row r="197" spans="1:9" ht="36" customHeight="1">
      <c r="A197" s="441"/>
      <c r="B197" s="441"/>
      <c r="C197" s="441"/>
      <c r="D197" s="14" t="s">
        <v>28</v>
      </c>
      <c r="E197" s="14" t="s">
        <v>36</v>
      </c>
      <c r="F197" s="14" t="s">
        <v>28</v>
      </c>
      <c r="G197" s="14" t="s">
        <v>36</v>
      </c>
      <c r="H197" s="441"/>
      <c r="I197" s="441"/>
    </row>
    <row r="198" spans="1:9" ht="13.5" thickBot="1">
      <c r="A198" s="445">
        <v>1</v>
      </c>
      <c r="B198" s="445"/>
      <c r="C198" s="17">
        <v>2</v>
      </c>
      <c r="D198" s="16">
        <v>3</v>
      </c>
      <c r="E198" s="16">
        <v>4</v>
      </c>
      <c r="F198" s="16">
        <v>5</v>
      </c>
      <c r="G198" s="16">
        <v>6</v>
      </c>
      <c r="H198" s="445">
        <v>7</v>
      </c>
      <c r="I198" s="445"/>
    </row>
    <row r="199" spans="1:9" ht="13.5" thickTop="1">
      <c r="A199" s="447"/>
      <c r="B199" s="447"/>
      <c r="C199" s="15"/>
      <c r="D199" s="25"/>
      <c r="E199" s="25"/>
      <c r="F199" s="25"/>
      <c r="G199" s="25"/>
      <c r="H199" s="440"/>
      <c r="I199" s="440"/>
    </row>
    <row r="200" spans="1:9" ht="12.75">
      <c r="A200" s="402"/>
      <c r="B200" s="402"/>
      <c r="C200" s="12"/>
      <c r="D200" s="11"/>
      <c r="E200" s="11"/>
      <c r="F200" s="11"/>
      <c r="G200" s="11"/>
      <c r="H200" s="427"/>
      <c r="I200" s="427"/>
    </row>
    <row r="201" spans="1:9" ht="12.75">
      <c r="A201" s="402"/>
      <c r="B201" s="402"/>
      <c r="C201" s="12"/>
      <c r="D201" s="11"/>
      <c r="E201" s="11"/>
      <c r="F201" s="11"/>
      <c r="G201" s="11"/>
      <c r="H201" s="427"/>
      <c r="I201" s="427"/>
    </row>
    <row r="202" spans="1:9" ht="12.75">
      <c r="A202" s="402"/>
      <c r="B202" s="402"/>
      <c r="C202" s="12"/>
      <c r="D202" s="11"/>
      <c r="E202" s="11"/>
      <c r="F202" s="11"/>
      <c r="G202" s="11"/>
      <c r="H202" s="427"/>
      <c r="I202" s="427"/>
    </row>
    <row r="203" spans="1:9" ht="12.75">
      <c r="A203" s="402"/>
      <c r="B203" s="402"/>
      <c r="C203" s="12"/>
      <c r="D203" s="11"/>
      <c r="E203" s="11"/>
      <c r="F203" s="11"/>
      <c r="G203" s="11"/>
      <c r="H203" s="427"/>
      <c r="I203" s="427"/>
    </row>
    <row r="204" ht="15">
      <c r="A204" s="1"/>
    </row>
    <row r="205" spans="1:9" ht="14.25" customHeight="1">
      <c r="A205" s="444" t="s">
        <v>25</v>
      </c>
      <c r="B205" s="444"/>
      <c r="C205" s="444"/>
      <c r="D205" s="444"/>
      <c r="E205" s="444"/>
      <c r="F205" s="444"/>
      <c r="G205" s="444"/>
      <c r="H205" s="444"/>
      <c r="I205" s="444"/>
    </row>
    <row r="206" spans="1:9" ht="72.75" customHeight="1">
      <c r="A206" s="14" t="s">
        <v>20</v>
      </c>
      <c r="B206" s="8" t="s">
        <v>0</v>
      </c>
      <c r="C206" s="14" t="s">
        <v>1</v>
      </c>
      <c r="D206" s="14" t="s">
        <v>14</v>
      </c>
      <c r="E206" s="14" t="s">
        <v>15</v>
      </c>
      <c r="F206" s="14" t="s">
        <v>29</v>
      </c>
      <c r="G206" s="14" t="s">
        <v>30</v>
      </c>
      <c r="H206" s="14" t="s">
        <v>31</v>
      </c>
      <c r="I206" s="14" t="s">
        <v>32</v>
      </c>
    </row>
    <row r="207" spans="1:9" ht="13.5" thickBot="1">
      <c r="A207" s="17">
        <v>1</v>
      </c>
      <c r="B207" s="17">
        <v>2</v>
      </c>
      <c r="C207" s="16">
        <v>3</v>
      </c>
      <c r="D207" s="16">
        <v>4</v>
      </c>
      <c r="E207" s="16">
        <v>5</v>
      </c>
      <c r="F207" s="16">
        <v>6</v>
      </c>
      <c r="G207" s="16">
        <v>7</v>
      </c>
      <c r="H207" s="16">
        <v>8</v>
      </c>
      <c r="I207" s="16">
        <v>9</v>
      </c>
    </row>
    <row r="208" spans="1:9" ht="13.5" hidden="1" thickTop="1">
      <c r="A208" s="24"/>
      <c r="B208" s="26"/>
      <c r="C208" s="26" t="s">
        <v>10</v>
      </c>
      <c r="D208" s="24"/>
      <c r="E208" s="24"/>
      <c r="F208" s="24"/>
      <c r="G208" s="24"/>
      <c r="H208" s="24"/>
      <c r="I208" s="24"/>
    </row>
    <row r="209" spans="1:9" ht="13.5" hidden="1" thickTop="1">
      <c r="A209" s="18"/>
      <c r="B209" s="12"/>
      <c r="C209" s="12" t="s">
        <v>26</v>
      </c>
      <c r="D209" s="18"/>
      <c r="E209" s="18"/>
      <c r="F209" s="18"/>
      <c r="G209" s="18"/>
      <c r="H209" s="18"/>
      <c r="I209" s="18"/>
    </row>
    <row r="210" spans="1:9" ht="13.5" hidden="1" thickTop="1">
      <c r="A210" s="18"/>
      <c r="B210" s="12"/>
      <c r="C210" s="12" t="s">
        <v>16</v>
      </c>
      <c r="D210" s="18"/>
      <c r="E210" s="18"/>
      <c r="F210" s="18"/>
      <c r="G210" s="18"/>
      <c r="H210" s="18"/>
      <c r="I210" s="18"/>
    </row>
    <row r="211" spans="1:9" ht="13.5" hidden="1" thickTop="1">
      <c r="A211" s="18"/>
      <c r="B211" s="12"/>
      <c r="C211" s="12" t="s">
        <v>2</v>
      </c>
      <c r="D211" s="18"/>
      <c r="E211" s="18"/>
      <c r="F211" s="18"/>
      <c r="G211" s="18"/>
      <c r="H211" s="18"/>
      <c r="I211" s="18"/>
    </row>
    <row r="212" spans="1:9" ht="13.5" hidden="1" thickTop="1">
      <c r="A212" s="18"/>
      <c r="B212" s="12"/>
      <c r="C212" s="12" t="s">
        <v>17</v>
      </c>
      <c r="D212" s="18"/>
      <c r="E212" s="18"/>
      <c r="F212" s="18"/>
      <c r="G212" s="18"/>
      <c r="H212" s="18"/>
      <c r="I212" s="18"/>
    </row>
    <row r="213" spans="1:9" ht="13.5" hidden="1" thickTop="1">
      <c r="A213" s="18"/>
      <c r="B213" s="12"/>
      <c r="C213" s="12" t="s">
        <v>2</v>
      </c>
      <c r="D213" s="18"/>
      <c r="E213" s="18"/>
      <c r="F213" s="18"/>
      <c r="G213" s="18"/>
      <c r="H213" s="18"/>
      <c r="I213" s="18"/>
    </row>
    <row r="214" spans="1:9" ht="13.5" hidden="1" thickTop="1">
      <c r="A214" s="18"/>
      <c r="B214" s="12"/>
      <c r="C214" s="12" t="s">
        <v>18</v>
      </c>
      <c r="D214" s="18"/>
      <c r="E214" s="18"/>
      <c r="F214" s="18"/>
      <c r="G214" s="18"/>
      <c r="H214" s="18"/>
      <c r="I214" s="18"/>
    </row>
    <row r="215" spans="1:9" ht="13.5" hidden="1" thickTop="1">
      <c r="A215" s="18"/>
      <c r="B215" s="12"/>
      <c r="C215" s="12" t="s">
        <v>33</v>
      </c>
      <c r="D215" s="18"/>
      <c r="E215" s="18"/>
      <c r="F215" s="18"/>
      <c r="G215" s="18"/>
      <c r="H215" s="18"/>
      <c r="I215" s="18"/>
    </row>
    <row r="216" spans="1:9" ht="13.5" hidden="1" thickTop="1">
      <c r="A216" s="18"/>
      <c r="B216" s="12"/>
      <c r="C216" s="12" t="s">
        <v>19</v>
      </c>
      <c r="D216" s="18"/>
      <c r="E216" s="18"/>
      <c r="F216" s="18"/>
      <c r="G216" s="18"/>
      <c r="H216" s="18"/>
      <c r="I216" s="18"/>
    </row>
    <row r="217" spans="1:9" ht="13.5" hidden="1" thickTop="1">
      <c r="A217" s="18"/>
      <c r="B217" s="12"/>
      <c r="C217" s="12" t="s">
        <v>2</v>
      </c>
      <c r="D217" s="18"/>
      <c r="E217" s="18"/>
      <c r="F217" s="18"/>
      <c r="G217" s="18"/>
      <c r="H217" s="18"/>
      <c r="I217" s="18"/>
    </row>
    <row r="218" spans="1:9" ht="13.5" hidden="1" thickTop="1">
      <c r="A218" s="18"/>
      <c r="B218" s="13"/>
      <c r="C218" s="13" t="s">
        <v>11</v>
      </c>
      <c r="D218" s="18"/>
      <c r="E218" s="18"/>
      <c r="F218" s="18"/>
      <c r="G218" s="18"/>
      <c r="H218" s="18"/>
      <c r="I218" s="18"/>
    </row>
    <row r="219" spans="1:9" ht="13.5" thickTop="1">
      <c r="A219" s="18"/>
      <c r="B219" s="12"/>
      <c r="C219" s="12" t="s">
        <v>2</v>
      </c>
      <c r="D219" s="18"/>
      <c r="E219" s="18"/>
      <c r="F219" s="18"/>
      <c r="G219" s="18"/>
      <c r="H219" s="18"/>
      <c r="I219" s="18"/>
    </row>
    <row r="220" ht="12.75">
      <c r="A220" s="22"/>
    </row>
    <row r="221" spans="1:9" ht="30.75" customHeight="1">
      <c r="A221" s="444" t="s">
        <v>34</v>
      </c>
      <c r="B221" s="444"/>
      <c r="C221" s="444"/>
      <c r="D221" s="444"/>
      <c r="E221" s="444"/>
      <c r="F221" s="444"/>
      <c r="G221" s="444"/>
      <c r="H221" s="444"/>
      <c r="I221" s="444"/>
    </row>
    <row r="222" spans="1:9" ht="15">
      <c r="A222" s="446"/>
      <c r="B222" s="446"/>
      <c r="C222" s="446"/>
      <c r="D222" s="446"/>
      <c r="E222" s="446"/>
      <c r="F222" s="446"/>
      <c r="G222" s="446"/>
      <c r="H222" s="446"/>
      <c r="I222" s="446"/>
    </row>
    <row r="223" spans="1:9" ht="15">
      <c r="A223" s="442" t="s">
        <v>213</v>
      </c>
      <c r="B223" s="442"/>
      <c r="C223" s="442"/>
      <c r="D223" s="442"/>
      <c r="E223" s="442"/>
      <c r="F223" s="442"/>
      <c r="G223" s="442"/>
      <c r="H223" s="442"/>
      <c r="I223" s="442"/>
    </row>
    <row r="224" spans="1:9" ht="12.75">
      <c r="A224" s="2" t="s">
        <v>35</v>
      </c>
      <c r="I224" s="2" t="s">
        <v>4</v>
      </c>
    </row>
    <row r="225" spans="1:9" s="19" customFormat="1" ht="12.75">
      <c r="A225" s="443" t="s">
        <v>3</v>
      </c>
      <c r="B225" s="443"/>
      <c r="C225" s="23"/>
      <c r="D225" s="18"/>
      <c r="E225" s="18"/>
      <c r="F225" s="18"/>
      <c r="G225" s="18"/>
      <c r="H225" s="443"/>
      <c r="I225" s="443"/>
    </row>
    <row r="226" ht="12.75">
      <c r="A226" s="4"/>
    </row>
    <row r="227" ht="12.75">
      <c r="A227" s="4"/>
    </row>
    <row r="228" spans="1:9" ht="18.75" customHeight="1">
      <c r="A228" s="393" t="s">
        <v>159</v>
      </c>
      <c r="B228" s="393"/>
      <c r="C228" s="393"/>
      <c r="E228" s="392" t="s">
        <v>8</v>
      </c>
      <c r="F228" s="392"/>
      <c r="H228" s="392" t="s">
        <v>108</v>
      </c>
      <c r="I228" s="392"/>
    </row>
    <row r="229" spans="1:9" ht="15">
      <c r="A229" s="5"/>
      <c r="B229" s="5"/>
      <c r="E229" s="431" t="s">
        <v>5</v>
      </c>
      <c r="F229" s="431"/>
      <c r="H229" s="431" t="s">
        <v>6</v>
      </c>
      <c r="I229" s="431"/>
    </row>
    <row r="230" spans="1:8" ht="12.75" customHeight="1">
      <c r="A230" s="10"/>
      <c r="B230" s="10"/>
      <c r="E230" s="9"/>
      <c r="H230" s="9"/>
    </row>
    <row r="231" spans="1:9" ht="18.75" customHeight="1">
      <c r="A231" s="393" t="s">
        <v>107</v>
      </c>
      <c r="B231" s="393"/>
      <c r="C231" s="393"/>
      <c r="E231" s="392" t="s">
        <v>8</v>
      </c>
      <c r="F231" s="392"/>
      <c r="H231" s="392" t="s">
        <v>109</v>
      </c>
      <c r="I231" s="392"/>
    </row>
    <row r="232" spans="1:9" ht="15">
      <c r="A232" s="5"/>
      <c r="E232" s="431" t="s">
        <v>5</v>
      </c>
      <c r="F232" s="431"/>
      <c r="H232" s="431" t="s">
        <v>6</v>
      </c>
      <c r="I232" s="431"/>
    </row>
    <row r="233" ht="12.75">
      <c r="A233" s="4"/>
    </row>
    <row r="234" ht="12.75">
      <c r="A234" s="4"/>
    </row>
  </sheetData>
  <sheetProtection/>
  <mergeCells count="213">
    <mergeCell ref="A14:B15"/>
    <mergeCell ref="A1:I1"/>
    <mergeCell ref="A3:I3"/>
    <mergeCell ref="A4:I4"/>
    <mergeCell ref="B5:J5"/>
    <mergeCell ref="B6:J6"/>
    <mergeCell ref="B12:I12"/>
    <mergeCell ref="C14:C15"/>
    <mergeCell ref="D14:D15"/>
    <mergeCell ref="E14:E15"/>
    <mergeCell ref="F14:G14"/>
    <mergeCell ref="H14:I15"/>
    <mergeCell ref="E135:G135"/>
    <mergeCell ref="A133:I133"/>
    <mergeCell ref="A16:B16"/>
    <mergeCell ref="H16:I16"/>
    <mergeCell ref="H25:I25"/>
    <mergeCell ref="H30:I30"/>
    <mergeCell ref="H31:I31"/>
    <mergeCell ref="H17:I17"/>
    <mergeCell ref="A187:I187"/>
    <mergeCell ref="H36:I36"/>
    <mergeCell ref="H37:I37"/>
    <mergeCell ref="H38:I38"/>
    <mergeCell ref="H39:I39"/>
    <mergeCell ref="H106:I109"/>
    <mergeCell ref="H111:I113"/>
    <mergeCell ref="H40:I40"/>
    <mergeCell ref="H41:I41"/>
    <mergeCell ref="H42:I42"/>
    <mergeCell ref="A188:I188"/>
    <mergeCell ref="A189:I189"/>
    <mergeCell ref="A190:I190"/>
    <mergeCell ref="A192:B192"/>
    <mergeCell ref="H192:I192"/>
    <mergeCell ref="A194:I194"/>
    <mergeCell ref="A196:B197"/>
    <mergeCell ref="C196:C197"/>
    <mergeCell ref="D196:E196"/>
    <mergeCell ref="F196:G196"/>
    <mergeCell ref="H196:I197"/>
    <mergeCell ref="A198:B198"/>
    <mergeCell ref="H198:I198"/>
    <mergeCell ref="A199:B199"/>
    <mergeCell ref="H199:I199"/>
    <mergeCell ref="A200:B200"/>
    <mergeCell ref="H200:I200"/>
    <mergeCell ref="A201:B201"/>
    <mergeCell ref="H201:I201"/>
    <mergeCell ref="A202:B202"/>
    <mergeCell ref="H202:I202"/>
    <mergeCell ref="A203:B203"/>
    <mergeCell ref="H203:I203"/>
    <mergeCell ref="A205:I205"/>
    <mergeCell ref="A221:I221"/>
    <mergeCell ref="A222:I222"/>
    <mergeCell ref="A223:I223"/>
    <mergeCell ref="A225:B225"/>
    <mergeCell ref="H225:I225"/>
    <mergeCell ref="A228:C228"/>
    <mergeCell ref="E228:F228"/>
    <mergeCell ref="H228:I228"/>
    <mergeCell ref="E229:F229"/>
    <mergeCell ref="H229:I229"/>
    <mergeCell ref="A231:C231"/>
    <mergeCell ref="E231:F231"/>
    <mergeCell ref="H231:I231"/>
    <mergeCell ref="E232:F232"/>
    <mergeCell ref="H232:I232"/>
    <mergeCell ref="H18:I18"/>
    <mergeCell ref="H19:I19"/>
    <mergeCell ref="H20:I20"/>
    <mergeCell ref="H21:I21"/>
    <mergeCell ref="H22:I22"/>
    <mergeCell ref="H23:I23"/>
    <mergeCell ref="H24:I24"/>
    <mergeCell ref="H32:I32"/>
    <mergeCell ref="H33:I33"/>
    <mergeCell ref="H34:I34"/>
    <mergeCell ref="H35:I35"/>
    <mergeCell ref="H26:I26"/>
    <mergeCell ref="H27:I27"/>
    <mergeCell ref="H28:I28"/>
    <mergeCell ref="H29:I29"/>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71:I71"/>
    <mergeCell ref="H72:I72"/>
    <mergeCell ref="H73:I73"/>
    <mergeCell ref="H74:I74"/>
    <mergeCell ref="H75:I75"/>
    <mergeCell ref="H76:I76"/>
    <mergeCell ref="H77:I77"/>
    <mergeCell ref="H78:I81"/>
    <mergeCell ref="H93:I93"/>
    <mergeCell ref="H82:I82"/>
    <mergeCell ref="H83:I83"/>
    <mergeCell ref="H84:I84"/>
    <mergeCell ref="H85:I85"/>
    <mergeCell ref="H86:I86"/>
    <mergeCell ref="H87:I87"/>
    <mergeCell ref="E140:G140"/>
    <mergeCell ref="C137:I137"/>
    <mergeCell ref="H98:I98"/>
    <mergeCell ref="H99:I99"/>
    <mergeCell ref="H100:I100"/>
    <mergeCell ref="H88:I88"/>
    <mergeCell ref="H89:I89"/>
    <mergeCell ref="H90:I90"/>
    <mergeCell ref="H91:I91"/>
    <mergeCell ref="H92:I92"/>
    <mergeCell ref="E156:G156"/>
    <mergeCell ref="H104:I104"/>
    <mergeCell ref="H105:I105"/>
    <mergeCell ref="E136:G136"/>
    <mergeCell ref="C138:I138"/>
    <mergeCell ref="H94:I94"/>
    <mergeCell ref="H95:I95"/>
    <mergeCell ref="H96:I96"/>
    <mergeCell ref="H97:I97"/>
    <mergeCell ref="E139:G139"/>
    <mergeCell ref="E151:G151"/>
    <mergeCell ref="E153:G153"/>
    <mergeCell ref="E154:G154"/>
    <mergeCell ref="E145:G145"/>
    <mergeCell ref="C148:I148"/>
    <mergeCell ref="H101:I101"/>
    <mergeCell ref="H102:I102"/>
    <mergeCell ref="H103:I103"/>
    <mergeCell ref="E134:G134"/>
    <mergeCell ref="E152:G152"/>
    <mergeCell ref="E141:G141"/>
    <mergeCell ref="E142:G142"/>
    <mergeCell ref="H110:I110"/>
    <mergeCell ref="H114:I114"/>
    <mergeCell ref="H115:I115"/>
    <mergeCell ref="H116:I116"/>
    <mergeCell ref="H117:I117"/>
    <mergeCell ref="H118:I118"/>
    <mergeCell ref="H119:I119"/>
    <mergeCell ref="H120:I120"/>
    <mergeCell ref="E173:G173"/>
    <mergeCell ref="E164:G164"/>
    <mergeCell ref="E165:G165"/>
    <mergeCell ref="E143:G143"/>
    <mergeCell ref="E144:G144"/>
    <mergeCell ref="E146:G146"/>
    <mergeCell ref="E147:G147"/>
    <mergeCell ref="C149:I149"/>
    <mergeCell ref="E157:G157"/>
    <mergeCell ref="E150:G150"/>
    <mergeCell ref="E159:G159"/>
    <mergeCell ref="E185:G185"/>
    <mergeCell ref="E167:G167"/>
    <mergeCell ref="E163:G163"/>
    <mergeCell ref="E166:G166"/>
    <mergeCell ref="E176:G176"/>
    <mergeCell ref="E184:G184"/>
    <mergeCell ref="E174:G174"/>
    <mergeCell ref="E175:G175"/>
    <mergeCell ref="E172:G172"/>
    <mergeCell ref="E161:G161"/>
    <mergeCell ref="E162:G162"/>
    <mergeCell ref="C168:I168"/>
    <mergeCell ref="E169:G169"/>
    <mergeCell ref="E170:G170"/>
    <mergeCell ref="E171:G171"/>
    <mergeCell ref="H129:I129"/>
    <mergeCell ref="C177:I177"/>
    <mergeCell ref="E183:G183"/>
    <mergeCell ref="E181:G181"/>
    <mergeCell ref="E179:G179"/>
    <mergeCell ref="E182:G182"/>
    <mergeCell ref="E180:G180"/>
    <mergeCell ref="H171:J171"/>
    <mergeCell ref="E158:G158"/>
    <mergeCell ref="E160:G160"/>
    <mergeCell ref="H130:I130"/>
    <mergeCell ref="H121:I121"/>
    <mergeCell ref="H122:I122"/>
    <mergeCell ref="H123:I123"/>
    <mergeCell ref="H124:I124"/>
    <mergeCell ref="H131:I131"/>
    <mergeCell ref="H125:I125"/>
    <mergeCell ref="H126:I126"/>
    <mergeCell ref="H127:I127"/>
    <mergeCell ref="H128:I128"/>
  </mergeCells>
  <printOptions horizontalCentered="1"/>
  <pageMargins left="0.2362204724409449" right="0.15748031496062992" top="0.1968503937007874" bottom="0.15748031496062992" header="0.1968503937007874" footer="0.11811023622047245"/>
  <pageSetup fitToHeight="0" fitToWidth="1"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J137"/>
  <sheetViews>
    <sheetView view="pageBreakPreview" zoomScale="90" zoomScaleSheetLayoutView="90" zoomScalePageLayoutView="0" workbookViewId="0" topLeftCell="B1">
      <selection activeCell="H74" sqref="H74"/>
    </sheetView>
  </sheetViews>
  <sheetFormatPr defaultColWidth="9.00390625" defaultRowHeight="12.75"/>
  <cols>
    <col min="1" max="1" width="6.375" style="0" hidden="1" customWidth="1"/>
    <col min="2" max="2" width="7.625" style="0" customWidth="1"/>
    <col min="3" max="3" width="84.50390625" style="0" customWidth="1"/>
    <col min="4" max="4" width="8.375" style="0" customWidth="1"/>
    <col min="5" max="6" width="8.50390625" style="0" customWidth="1"/>
    <col min="7" max="7" width="11.375" style="0" customWidth="1"/>
    <col min="8" max="8" width="32.50390625" style="0" customWidth="1"/>
    <col min="9" max="9" width="32.375" style="0" customWidth="1"/>
    <col min="10" max="10" width="10.50390625" style="0" customWidth="1"/>
  </cols>
  <sheetData>
    <row r="1" spans="1:9" s="60" customFormat="1" ht="21" thickBot="1">
      <c r="A1" s="432" t="s">
        <v>217</v>
      </c>
      <c r="B1" s="432"/>
      <c r="C1" s="432"/>
      <c r="D1" s="432"/>
      <c r="E1" s="432"/>
      <c r="F1" s="432"/>
      <c r="G1" s="432"/>
      <c r="H1" s="432"/>
      <c r="I1" s="432"/>
    </row>
    <row r="2" s="60" customFormat="1" ht="9.75" customHeight="1" thickTop="1">
      <c r="A2" s="70"/>
    </row>
    <row r="3" spans="1:9" s="60" customFormat="1" ht="15">
      <c r="A3" s="433" t="s">
        <v>160</v>
      </c>
      <c r="B3" s="433"/>
      <c r="C3" s="433"/>
      <c r="D3" s="433"/>
      <c r="E3" s="433"/>
      <c r="F3" s="433"/>
      <c r="G3" s="433"/>
      <c r="H3" s="433"/>
      <c r="I3" s="433"/>
    </row>
    <row r="4" spans="1:9" s="60" customFormat="1" ht="12" customHeight="1">
      <c r="A4" s="434" t="s">
        <v>206</v>
      </c>
      <c r="B4" s="434"/>
      <c r="C4" s="434"/>
      <c r="D4" s="434"/>
      <c r="E4" s="434"/>
      <c r="F4" s="434"/>
      <c r="G4" s="434"/>
      <c r="H4" s="434"/>
      <c r="I4" s="434"/>
    </row>
    <row r="5" spans="1:10" s="60" customFormat="1" ht="12" customHeight="1">
      <c r="A5" s="112"/>
      <c r="B5" s="433" t="s">
        <v>205</v>
      </c>
      <c r="C5" s="433"/>
      <c r="D5" s="433"/>
      <c r="E5" s="433"/>
      <c r="F5" s="433"/>
      <c r="G5" s="433"/>
      <c r="H5" s="433"/>
      <c r="I5" s="433"/>
      <c r="J5" s="433"/>
    </row>
    <row r="6" spans="1:10" s="60" customFormat="1" ht="12" customHeight="1">
      <c r="A6" s="112"/>
      <c r="B6" s="434" t="s">
        <v>207</v>
      </c>
      <c r="C6" s="434"/>
      <c r="D6" s="434"/>
      <c r="E6" s="434"/>
      <c r="F6" s="434"/>
      <c r="G6" s="434"/>
      <c r="H6" s="434"/>
      <c r="I6" s="434"/>
      <c r="J6" s="434"/>
    </row>
    <row r="7" spans="1:9" s="60" customFormat="1" ht="12" customHeight="1">
      <c r="A7" s="112"/>
      <c r="B7" s="119"/>
      <c r="C7" s="116"/>
      <c r="D7" s="116"/>
      <c r="E7" s="116"/>
      <c r="F7" s="116"/>
      <c r="G7" s="116"/>
      <c r="H7" s="116"/>
      <c r="I7" s="116"/>
    </row>
    <row r="8" spans="1:9" s="60" customFormat="1" ht="48" customHeight="1">
      <c r="A8" s="112"/>
      <c r="B8" s="400" t="s">
        <v>239</v>
      </c>
      <c r="C8" s="400"/>
      <c r="D8" s="118" t="s">
        <v>240</v>
      </c>
      <c r="E8" s="118"/>
      <c r="F8" s="118"/>
      <c r="G8" s="118"/>
      <c r="H8" s="116"/>
      <c r="I8" s="116"/>
    </row>
    <row r="9" spans="1:9" s="60" customFormat="1" ht="12" customHeight="1">
      <c r="A9" s="112"/>
      <c r="B9" s="117"/>
      <c r="C9" s="118" t="s">
        <v>201</v>
      </c>
      <c r="D9" s="116"/>
      <c r="E9" s="120" t="s">
        <v>202</v>
      </c>
      <c r="F9" s="116"/>
      <c r="H9" s="116"/>
      <c r="I9" s="116"/>
    </row>
    <row r="10" spans="1:9" s="60" customFormat="1" ht="12" customHeight="1">
      <c r="A10" s="112"/>
      <c r="B10" s="121"/>
      <c r="C10" s="121"/>
      <c r="D10" s="121"/>
      <c r="E10" s="121"/>
      <c r="F10" s="121"/>
      <c r="G10" s="121"/>
      <c r="H10" s="121"/>
      <c r="I10" s="121"/>
    </row>
    <row r="11" spans="1:9" s="60" customFormat="1" ht="12" customHeight="1">
      <c r="A11" s="112"/>
      <c r="B11" s="115" t="s">
        <v>203</v>
      </c>
      <c r="C11" s="115"/>
      <c r="D11" s="115"/>
      <c r="E11" s="115"/>
      <c r="F11" s="115"/>
      <c r="G11" s="115"/>
      <c r="H11" s="115"/>
      <c r="I11" s="115"/>
    </row>
    <row r="12" spans="1:9" s="60" customFormat="1" ht="12" customHeight="1">
      <c r="A12" s="112"/>
      <c r="B12" s="400" t="s">
        <v>204</v>
      </c>
      <c r="C12" s="400"/>
      <c r="D12" s="400"/>
      <c r="E12" s="400"/>
      <c r="F12" s="400"/>
      <c r="G12" s="400"/>
      <c r="H12" s="400"/>
      <c r="I12" s="400"/>
    </row>
    <row r="13" s="60" customFormat="1" ht="12.75">
      <c r="I13" s="71" t="s">
        <v>4</v>
      </c>
    </row>
    <row r="14" spans="1:9" s="60" customFormat="1" ht="12.75">
      <c r="A14" s="417" t="s">
        <v>23</v>
      </c>
      <c r="B14" s="417"/>
      <c r="C14" s="417" t="s">
        <v>1</v>
      </c>
      <c r="D14" s="417" t="s">
        <v>175</v>
      </c>
      <c r="E14" s="417" t="s">
        <v>176</v>
      </c>
      <c r="F14" s="417" t="s">
        <v>177</v>
      </c>
      <c r="G14" s="417"/>
      <c r="H14" s="417" t="s">
        <v>208</v>
      </c>
      <c r="I14" s="417"/>
    </row>
    <row r="15" spans="1:9" s="60" customFormat="1" ht="27" customHeight="1">
      <c r="A15" s="417"/>
      <c r="B15" s="417"/>
      <c r="C15" s="417"/>
      <c r="D15" s="417"/>
      <c r="E15" s="417"/>
      <c r="F15" s="111" t="s">
        <v>24</v>
      </c>
      <c r="G15" s="111" t="s">
        <v>36</v>
      </c>
      <c r="H15" s="417"/>
      <c r="I15" s="417"/>
    </row>
    <row r="16" spans="1:9" s="60" customFormat="1" ht="13.5" thickBot="1">
      <c r="A16" s="415">
        <v>1</v>
      </c>
      <c r="B16" s="415"/>
      <c r="C16" s="113">
        <v>2</v>
      </c>
      <c r="D16" s="113">
        <v>3</v>
      </c>
      <c r="E16" s="113">
        <v>4</v>
      </c>
      <c r="F16" s="113">
        <v>5</v>
      </c>
      <c r="G16" s="113">
        <v>6</v>
      </c>
      <c r="H16" s="416">
        <v>7</v>
      </c>
      <c r="I16" s="416"/>
    </row>
    <row r="17" spans="2:9" s="165" customFormat="1" ht="39.75" thickTop="1">
      <c r="B17" s="169">
        <f>'2019-3 СВОД'!B416</f>
        <v>1113140</v>
      </c>
      <c r="C17" s="169" t="str">
        <f>'2019-3 СВОД'!C416</f>
        <v>Програма Оздоровлення та відпочинок дітей (крім заходів з оздоровлення дітей, що здійснюється за рахунок коштів на оздоровлення громадян, які постраждали внслідок Чорнобильської катастрофи)</v>
      </c>
      <c r="D17" s="166">
        <f>D18+D53</f>
        <v>15283.16</v>
      </c>
      <c r="E17" s="166">
        <f>E18+E53</f>
        <v>24068.7</v>
      </c>
      <c r="F17" s="166">
        <f>F18+F53</f>
        <v>14599.6</v>
      </c>
      <c r="G17" s="166">
        <f>G18+G53</f>
        <v>3000</v>
      </c>
      <c r="H17" s="402"/>
      <c r="I17" s="402"/>
    </row>
    <row r="18" spans="1:9" ht="12.75" customHeight="1">
      <c r="A18" s="6"/>
      <c r="B18" s="27">
        <v>2000</v>
      </c>
      <c r="C18" s="28" t="s">
        <v>37</v>
      </c>
      <c r="D18" s="33">
        <f>D19+D24+D41+D44+D48+D52</f>
        <v>15283.16</v>
      </c>
      <c r="E18" s="33">
        <f>E19+E24+E41+E44+E48+E52</f>
        <v>24068.7</v>
      </c>
      <c r="F18" s="33">
        <f>F19+F24+F41+F44+F48+F52</f>
        <v>14599.6</v>
      </c>
      <c r="G18" s="33">
        <f>G19+G24+G41+G44+G48+G52</f>
        <v>3000</v>
      </c>
      <c r="H18" s="403" t="s">
        <v>593</v>
      </c>
      <c r="I18" s="404"/>
    </row>
    <row r="19" spans="1:9" ht="12.75" customHeight="1" hidden="1">
      <c r="A19" s="6"/>
      <c r="B19" s="29">
        <v>2100</v>
      </c>
      <c r="C19" s="30" t="s">
        <v>38</v>
      </c>
      <c r="D19" s="35">
        <f>D20+D23</f>
        <v>0</v>
      </c>
      <c r="E19" s="35">
        <f>E20+E23</f>
        <v>0</v>
      </c>
      <c r="F19" s="35">
        <f>F20+F23</f>
        <v>0</v>
      </c>
      <c r="G19" s="35">
        <f>G20+G23</f>
        <v>0</v>
      </c>
      <c r="H19" s="405"/>
      <c r="I19" s="406"/>
    </row>
    <row r="20" spans="1:9" ht="12.75" customHeight="1" hidden="1">
      <c r="A20" s="6"/>
      <c r="B20" s="29">
        <v>2110</v>
      </c>
      <c r="C20" s="30" t="s">
        <v>39</v>
      </c>
      <c r="D20" s="35">
        <f>D21+D22</f>
        <v>0</v>
      </c>
      <c r="E20" s="35">
        <f>E21+E22</f>
        <v>0</v>
      </c>
      <c r="F20" s="35">
        <f>F21+F22</f>
        <v>0</v>
      </c>
      <c r="G20" s="35">
        <f>G21+G22</f>
        <v>0</v>
      </c>
      <c r="H20" s="405"/>
      <c r="I20" s="406"/>
    </row>
    <row r="21" spans="1:9" ht="12.75" customHeight="1" hidden="1">
      <c r="A21" s="6"/>
      <c r="B21" s="29">
        <v>2111</v>
      </c>
      <c r="C21" s="30" t="s">
        <v>42</v>
      </c>
      <c r="D21" s="34">
        <f>'2019-3 СВОД'!D420</f>
        <v>0</v>
      </c>
      <c r="E21" s="34">
        <f>'2019-3 СВОД'!E420</f>
        <v>0</v>
      </c>
      <c r="F21" s="34">
        <f>'2019-3 СВОД'!F420</f>
        <v>0</v>
      </c>
      <c r="G21" s="34">
        <f>'2019-3 СВОД'!G420</f>
        <v>0</v>
      </c>
      <c r="H21" s="405"/>
      <c r="I21" s="406"/>
    </row>
    <row r="22" spans="1:9" ht="12.75" customHeight="1" hidden="1">
      <c r="A22" s="6"/>
      <c r="B22" s="29">
        <v>2112</v>
      </c>
      <c r="C22" s="30" t="s">
        <v>43</v>
      </c>
      <c r="D22" s="34">
        <f>'2019-3 СВОД'!D421</f>
        <v>0</v>
      </c>
      <c r="E22" s="34">
        <f>'2019-3 СВОД'!E421</f>
        <v>0</v>
      </c>
      <c r="F22" s="34">
        <f>'2019-3 СВОД'!F421</f>
        <v>0</v>
      </c>
      <c r="G22" s="34">
        <f>'2019-3 СВОД'!G421</f>
        <v>0</v>
      </c>
      <c r="H22" s="405"/>
      <c r="I22" s="406"/>
    </row>
    <row r="23" spans="1:9" ht="12.75" customHeight="1" hidden="1">
      <c r="A23" s="6"/>
      <c r="B23" s="29">
        <v>2120</v>
      </c>
      <c r="C23" s="30" t="s">
        <v>44</v>
      </c>
      <c r="D23" s="34">
        <f>'2019-3 СВОД'!D422</f>
        <v>0</v>
      </c>
      <c r="E23" s="34">
        <f>'2019-3 СВОД'!E422</f>
        <v>0</v>
      </c>
      <c r="F23" s="34">
        <f>'2019-3 СВОД'!F422</f>
        <v>0</v>
      </c>
      <c r="G23" s="34">
        <f>'2019-3 СВОД'!G422</f>
        <v>0</v>
      </c>
      <c r="H23" s="405"/>
      <c r="I23" s="406"/>
    </row>
    <row r="24" spans="1:9" ht="12.75" customHeight="1">
      <c r="A24" s="6"/>
      <c r="B24" s="27">
        <v>2200</v>
      </c>
      <c r="C24" s="28" t="s">
        <v>45</v>
      </c>
      <c r="D24" s="33">
        <f>SUM(D25:D31)+D38</f>
        <v>15283.16</v>
      </c>
      <c r="E24" s="33">
        <f>SUM(E25:E31)+E38</f>
        <v>24068.7</v>
      </c>
      <c r="F24" s="33">
        <f>SUM(F25:F31)+F38</f>
        <v>14599.6</v>
      </c>
      <c r="G24" s="33">
        <f>SUM(G25:G31)+G38</f>
        <v>3000</v>
      </c>
      <c r="H24" s="405"/>
      <c r="I24" s="406"/>
    </row>
    <row r="25" spans="1:9" ht="12.75" customHeight="1" hidden="1">
      <c r="A25" s="6"/>
      <c r="B25" s="29">
        <v>2210</v>
      </c>
      <c r="C25" s="30" t="s">
        <v>46</v>
      </c>
      <c r="D25" s="34">
        <f>'2019-3 СВОД'!D424</f>
        <v>0</v>
      </c>
      <c r="E25" s="34">
        <f>'2019-3 СВОД'!E424</f>
        <v>0</v>
      </c>
      <c r="F25" s="34">
        <f>'2019-3 СВОД'!F424</f>
        <v>0</v>
      </c>
      <c r="G25" s="34">
        <f>'2019-3 СВОД'!G424</f>
        <v>0</v>
      </c>
      <c r="H25" s="405"/>
      <c r="I25" s="406"/>
    </row>
    <row r="26" spans="1:9" ht="12.75" customHeight="1" hidden="1">
      <c r="A26" s="6"/>
      <c r="B26" s="29">
        <v>2220</v>
      </c>
      <c r="C26" s="30" t="s">
        <v>47</v>
      </c>
      <c r="D26" s="34">
        <f>'2019-3 СВОД'!D425</f>
        <v>0</v>
      </c>
      <c r="E26" s="34">
        <f>'2019-3 СВОД'!E425</f>
        <v>0</v>
      </c>
      <c r="F26" s="34">
        <f>'2019-3 СВОД'!F425</f>
        <v>0</v>
      </c>
      <c r="G26" s="34">
        <f>'2019-3 СВОД'!G425</f>
        <v>0</v>
      </c>
      <c r="H26" s="405"/>
      <c r="I26" s="406"/>
    </row>
    <row r="27" spans="1:9" ht="12.75" customHeight="1" hidden="1">
      <c r="A27" s="6"/>
      <c r="B27" s="29">
        <v>2230</v>
      </c>
      <c r="C27" s="30" t="s">
        <v>48</v>
      </c>
      <c r="D27" s="34">
        <f>'2019-3 СВОД'!D426</f>
        <v>0</v>
      </c>
      <c r="E27" s="34">
        <f>'2019-3 СВОД'!E426</f>
        <v>0</v>
      </c>
      <c r="F27" s="34">
        <f>'2019-3 СВОД'!F426</f>
        <v>0</v>
      </c>
      <c r="G27" s="34">
        <f>'2019-3 СВОД'!G426</f>
        <v>0</v>
      </c>
      <c r="H27" s="405"/>
      <c r="I27" s="406"/>
    </row>
    <row r="28" spans="1:9" ht="12.75" customHeight="1" hidden="1">
      <c r="A28" s="6"/>
      <c r="B28" s="29">
        <v>2240</v>
      </c>
      <c r="C28" s="30" t="s">
        <v>49</v>
      </c>
      <c r="D28" s="34">
        <f>'2019-3 СВОД'!D427</f>
        <v>0</v>
      </c>
      <c r="E28" s="34">
        <f>'2019-3 СВОД'!E427</f>
        <v>0</v>
      </c>
      <c r="F28" s="34">
        <f>'2019-3 СВОД'!F427</f>
        <v>0</v>
      </c>
      <c r="G28" s="34">
        <f>'2019-3 СВОД'!G427</f>
        <v>0</v>
      </c>
      <c r="H28" s="405"/>
      <c r="I28" s="406"/>
    </row>
    <row r="29" spans="1:9" ht="12.75" customHeight="1" hidden="1">
      <c r="A29" s="6"/>
      <c r="B29" s="29">
        <v>2250</v>
      </c>
      <c r="C29" s="30" t="s">
        <v>50</v>
      </c>
      <c r="D29" s="34">
        <f>'2019-3 СВОД'!D428</f>
        <v>0</v>
      </c>
      <c r="E29" s="34">
        <f>'2019-3 СВОД'!E428</f>
        <v>0</v>
      </c>
      <c r="F29" s="34">
        <f>'2019-3 СВОД'!F428</f>
        <v>0</v>
      </c>
      <c r="G29" s="34">
        <f>'2019-3 СВОД'!G428</f>
        <v>0</v>
      </c>
      <c r="H29" s="405"/>
      <c r="I29" s="406"/>
    </row>
    <row r="30" spans="1:9" ht="12.75" customHeight="1" hidden="1">
      <c r="A30" s="6"/>
      <c r="B30" s="29">
        <v>2260</v>
      </c>
      <c r="C30" s="30" t="s">
        <v>51</v>
      </c>
      <c r="D30" s="34">
        <f>'2019-3 СВОД'!D429</f>
        <v>0</v>
      </c>
      <c r="E30" s="34">
        <f>'2019-3 СВОД'!E429</f>
        <v>0</v>
      </c>
      <c r="F30" s="34">
        <f>'2019-3 СВОД'!F429</f>
        <v>0</v>
      </c>
      <c r="G30" s="34">
        <f>'2019-3 СВОД'!G429</f>
        <v>0</v>
      </c>
      <c r="H30" s="405"/>
      <c r="I30" s="406"/>
    </row>
    <row r="31" spans="1:9" ht="12.75" customHeight="1" hidden="1">
      <c r="A31" s="6"/>
      <c r="B31" s="27">
        <v>2270</v>
      </c>
      <c r="C31" s="28" t="s">
        <v>52</v>
      </c>
      <c r="D31" s="33">
        <f>D32+D33+D34+D35+D36+D37</f>
        <v>0</v>
      </c>
      <c r="E31" s="33">
        <f>E32+E33+E34+E35+E36+E37</f>
        <v>0</v>
      </c>
      <c r="F31" s="33">
        <f>F32+F33+F34+F35+F36+F37</f>
        <v>0</v>
      </c>
      <c r="G31" s="33">
        <f>G32+G33+G34+G35+G36+G37</f>
        <v>0</v>
      </c>
      <c r="H31" s="405"/>
      <c r="I31" s="406"/>
    </row>
    <row r="32" spans="1:9" ht="12.75" customHeight="1" hidden="1">
      <c r="A32" s="6"/>
      <c r="B32" s="29">
        <v>2271</v>
      </c>
      <c r="C32" s="30" t="s">
        <v>53</v>
      </c>
      <c r="D32" s="34">
        <f>'2019-3 СВОД'!D431</f>
        <v>0</v>
      </c>
      <c r="E32" s="34">
        <f>'2019-3 СВОД'!E431</f>
        <v>0</v>
      </c>
      <c r="F32" s="34">
        <f>'2019-3 СВОД'!F431</f>
        <v>0</v>
      </c>
      <c r="G32" s="34">
        <f>'2019-3 СВОД'!G431</f>
        <v>0</v>
      </c>
      <c r="H32" s="405"/>
      <c r="I32" s="406"/>
    </row>
    <row r="33" spans="1:9" ht="12.75" customHeight="1" hidden="1">
      <c r="A33" s="6"/>
      <c r="B33" s="29">
        <v>2272</v>
      </c>
      <c r="C33" s="30" t="s">
        <v>54</v>
      </c>
      <c r="D33" s="34">
        <f>'2019-3 СВОД'!D432</f>
        <v>0</v>
      </c>
      <c r="E33" s="34">
        <f>'2019-3 СВОД'!E432</f>
        <v>0</v>
      </c>
      <c r="F33" s="34">
        <f>'2019-3 СВОД'!F432</f>
        <v>0</v>
      </c>
      <c r="G33" s="34">
        <f>'2019-3 СВОД'!G432</f>
        <v>0</v>
      </c>
      <c r="H33" s="405"/>
      <c r="I33" s="406"/>
    </row>
    <row r="34" spans="1:9" ht="12.75" customHeight="1" hidden="1">
      <c r="A34" s="6"/>
      <c r="B34" s="29">
        <v>2273</v>
      </c>
      <c r="C34" s="30" t="s">
        <v>55</v>
      </c>
      <c r="D34" s="34">
        <f>'2019-3 СВОД'!D433</f>
        <v>0</v>
      </c>
      <c r="E34" s="34">
        <f>'2019-3 СВОД'!E433</f>
        <v>0</v>
      </c>
      <c r="F34" s="34">
        <f>'2019-3 СВОД'!F433</f>
        <v>0</v>
      </c>
      <c r="G34" s="34">
        <f>'2019-3 СВОД'!G433</f>
        <v>0</v>
      </c>
      <c r="H34" s="405"/>
      <c r="I34" s="406"/>
    </row>
    <row r="35" spans="1:9" ht="12.75" customHeight="1" hidden="1">
      <c r="A35" s="6"/>
      <c r="B35" s="29">
        <v>2274</v>
      </c>
      <c r="C35" s="30" t="s">
        <v>56</v>
      </c>
      <c r="D35" s="34">
        <f>'2019-3 СВОД'!D434</f>
        <v>0</v>
      </c>
      <c r="E35" s="34">
        <f>'2019-3 СВОД'!E434</f>
        <v>0</v>
      </c>
      <c r="F35" s="34">
        <f>'2019-3 СВОД'!F434</f>
        <v>0</v>
      </c>
      <c r="G35" s="34">
        <f>'2019-3 СВОД'!G434</f>
        <v>0</v>
      </c>
      <c r="H35" s="405"/>
      <c r="I35" s="406"/>
    </row>
    <row r="36" spans="1:9" ht="12.75" customHeight="1" hidden="1">
      <c r="A36" s="6"/>
      <c r="B36" s="29">
        <v>2275</v>
      </c>
      <c r="C36" s="30" t="s">
        <v>57</v>
      </c>
      <c r="D36" s="34">
        <f>'2019-3 СВОД'!D435</f>
        <v>0</v>
      </c>
      <c r="E36" s="34">
        <f>'2019-3 СВОД'!E435</f>
        <v>0</v>
      </c>
      <c r="F36" s="34">
        <f>'2019-3 СВОД'!F435</f>
        <v>0</v>
      </c>
      <c r="G36" s="34">
        <f>'2019-3 СВОД'!G435</f>
        <v>0</v>
      </c>
      <c r="H36" s="405"/>
      <c r="I36" s="406"/>
    </row>
    <row r="37" spans="1:9" ht="12.75" customHeight="1" hidden="1">
      <c r="A37" s="6"/>
      <c r="B37" s="31">
        <v>2276</v>
      </c>
      <c r="C37" s="32" t="s">
        <v>58</v>
      </c>
      <c r="D37" s="34">
        <f>'2019-3 СВОД'!D436</f>
        <v>0</v>
      </c>
      <c r="E37" s="34">
        <f>'2019-3 СВОД'!E436</f>
        <v>0</v>
      </c>
      <c r="F37" s="34">
        <f>'2019-3 СВОД'!F436</f>
        <v>0</v>
      </c>
      <c r="G37" s="34">
        <f>'2019-3 СВОД'!G436</f>
        <v>0</v>
      </c>
      <c r="H37" s="405"/>
      <c r="I37" s="406"/>
    </row>
    <row r="38" spans="1:9" ht="12.75">
      <c r="A38" s="6"/>
      <c r="B38" s="27">
        <v>2280</v>
      </c>
      <c r="C38" s="28" t="s">
        <v>59</v>
      </c>
      <c r="D38" s="33">
        <f>D39+D40</f>
        <v>15283.16</v>
      </c>
      <c r="E38" s="33">
        <f>E39+E40</f>
        <v>24068.7</v>
      </c>
      <c r="F38" s="33">
        <f>F39+F40</f>
        <v>14599.6</v>
      </c>
      <c r="G38" s="33">
        <f>G39+G40</f>
        <v>3000</v>
      </c>
      <c r="H38" s="405"/>
      <c r="I38" s="406"/>
    </row>
    <row r="39" spans="1:9" ht="12.75" customHeight="1" hidden="1">
      <c r="A39" s="6"/>
      <c r="B39" s="29">
        <v>2281</v>
      </c>
      <c r="C39" s="30" t="s">
        <v>60</v>
      </c>
      <c r="D39" s="34">
        <f>'2019-3 СВОД'!D438</f>
        <v>0</v>
      </c>
      <c r="E39" s="34">
        <f>'2019-3 СВОД'!E438</f>
        <v>0</v>
      </c>
      <c r="F39" s="34">
        <f>'2019-3 СВОД'!F438</f>
        <v>0</v>
      </c>
      <c r="G39" s="34">
        <f>'2019-3 СВОД'!G438</f>
        <v>0</v>
      </c>
      <c r="H39" s="405"/>
      <c r="I39" s="406"/>
    </row>
    <row r="40" spans="1:9" ht="12.75">
      <c r="A40" s="6"/>
      <c r="B40" s="29">
        <v>2282</v>
      </c>
      <c r="C40" s="30" t="s">
        <v>61</v>
      </c>
      <c r="D40" s="34">
        <f>'2019-3 СВОД'!D439</f>
        <v>15283.16</v>
      </c>
      <c r="E40" s="34">
        <f>'2019-3 СВОД'!E439</f>
        <v>24068.7</v>
      </c>
      <c r="F40" s="34">
        <f>'2019-3 СВОД'!F439</f>
        <v>14599.6</v>
      </c>
      <c r="G40" s="34">
        <f>'2019-3 СВОД'!G439</f>
        <v>3000</v>
      </c>
      <c r="H40" s="405"/>
      <c r="I40" s="406"/>
    </row>
    <row r="41" spans="1:9" ht="12.75" customHeight="1" hidden="1">
      <c r="A41" s="6"/>
      <c r="B41" s="27">
        <v>2400</v>
      </c>
      <c r="C41" s="28" t="s">
        <v>62</v>
      </c>
      <c r="D41" s="34">
        <f>D42+D43</f>
        <v>0</v>
      </c>
      <c r="E41" s="34">
        <f>E42+E43</f>
        <v>0</v>
      </c>
      <c r="F41" s="34">
        <f>F42+F43</f>
        <v>0</v>
      </c>
      <c r="G41" s="34">
        <f>G42+G43</f>
        <v>0</v>
      </c>
      <c r="H41" s="405"/>
      <c r="I41" s="406"/>
    </row>
    <row r="42" spans="1:9" ht="12.75" customHeight="1" hidden="1">
      <c r="A42" s="6"/>
      <c r="B42" s="29">
        <v>2410</v>
      </c>
      <c r="C42" s="30" t="s">
        <v>63</v>
      </c>
      <c r="D42" s="34">
        <f>'2019-3 СВОД'!D441</f>
        <v>0</v>
      </c>
      <c r="E42" s="34">
        <f>'2019-3 СВОД'!E441</f>
        <v>0</v>
      </c>
      <c r="F42" s="34">
        <f>'2019-3 СВОД'!F441</f>
        <v>0</v>
      </c>
      <c r="G42" s="34">
        <f>'2019-3 СВОД'!G441</f>
        <v>0</v>
      </c>
      <c r="H42" s="405"/>
      <c r="I42" s="406"/>
    </row>
    <row r="43" spans="1:9" ht="12.75" customHeight="1" hidden="1">
      <c r="A43" s="6"/>
      <c r="B43" s="29">
        <v>2420</v>
      </c>
      <c r="C43" s="30" t="s">
        <v>64</v>
      </c>
      <c r="D43" s="34">
        <f>'2019-3 СВОД'!D442</f>
        <v>0</v>
      </c>
      <c r="E43" s="34">
        <f>'2019-3 СВОД'!E442</f>
        <v>0</v>
      </c>
      <c r="F43" s="34">
        <f>'2019-3 СВОД'!F442</f>
        <v>0</v>
      </c>
      <c r="G43" s="34">
        <f>'2019-3 СВОД'!G442</f>
        <v>0</v>
      </c>
      <c r="H43" s="405"/>
      <c r="I43" s="406"/>
    </row>
    <row r="44" spans="1:9" ht="12.75" customHeight="1" hidden="1">
      <c r="A44" s="6"/>
      <c r="B44" s="27">
        <v>2600</v>
      </c>
      <c r="C44" s="28" t="s">
        <v>65</v>
      </c>
      <c r="D44" s="33">
        <f>D45+D46+D47</f>
        <v>0</v>
      </c>
      <c r="E44" s="33">
        <f>E45+E46+E47</f>
        <v>0</v>
      </c>
      <c r="F44" s="33">
        <f>F45+F46+F47</f>
        <v>0</v>
      </c>
      <c r="G44" s="33">
        <f>G45+G46+G47</f>
        <v>0</v>
      </c>
      <c r="H44" s="405"/>
      <c r="I44" s="406"/>
    </row>
    <row r="45" spans="1:9" ht="12.75" customHeight="1" hidden="1">
      <c r="A45" s="6"/>
      <c r="B45" s="29">
        <v>2610</v>
      </c>
      <c r="C45" s="30" t="s">
        <v>66</v>
      </c>
      <c r="D45" s="34">
        <f>'2019-3 СВОД'!D444</f>
        <v>0</v>
      </c>
      <c r="E45" s="34">
        <f>'2019-3 СВОД'!E444</f>
        <v>0</v>
      </c>
      <c r="F45" s="34">
        <f>'2019-3 СВОД'!F444</f>
        <v>0</v>
      </c>
      <c r="G45" s="34">
        <f>'2019-3 СВОД'!G444</f>
        <v>0</v>
      </c>
      <c r="H45" s="405"/>
      <c r="I45" s="406"/>
    </row>
    <row r="46" spans="1:9" ht="12.75" customHeight="1" hidden="1">
      <c r="A46" s="6"/>
      <c r="B46" s="29">
        <v>2620</v>
      </c>
      <c r="C46" s="30" t="s">
        <v>67</v>
      </c>
      <c r="D46" s="34">
        <f>'2019-3 СВОД'!D445</f>
        <v>0</v>
      </c>
      <c r="E46" s="34">
        <f>'2019-3 СВОД'!E445</f>
        <v>0</v>
      </c>
      <c r="F46" s="34">
        <f>'2019-3 СВОД'!F445</f>
        <v>0</v>
      </c>
      <c r="G46" s="34">
        <f>'2019-3 СВОД'!G445</f>
        <v>0</v>
      </c>
      <c r="H46" s="405"/>
      <c r="I46" s="406"/>
    </row>
    <row r="47" spans="1:9" ht="12.75" customHeight="1" hidden="1">
      <c r="A47" s="6"/>
      <c r="B47" s="29">
        <v>2630</v>
      </c>
      <c r="C47" s="30" t="s">
        <v>68</v>
      </c>
      <c r="D47" s="34">
        <f>'2019-3 СВОД'!D446</f>
        <v>0</v>
      </c>
      <c r="E47" s="34">
        <f>'2019-3 СВОД'!E446</f>
        <v>0</v>
      </c>
      <c r="F47" s="34">
        <f>'2019-3 СВОД'!F446</f>
        <v>0</v>
      </c>
      <c r="G47" s="34">
        <f>'2019-3 СВОД'!G446</f>
        <v>0</v>
      </c>
      <c r="H47" s="405"/>
      <c r="I47" s="406"/>
    </row>
    <row r="48" spans="1:9" ht="12.75" customHeight="1" hidden="1">
      <c r="A48" s="6"/>
      <c r="B48" s="27">
        <v>2700</v>
      </c>
      <c r="C48" s="28" t="s">
        <v>69</v>
      </c>
      <c r="D48" s="33">
        <f>D49+D50+D51</f>
        <v>0</v>
      </c>
      <c r="E48" s="33">
        <f>E49+E50+E51</f>
        <v>0</v>
      </c>
      <c r="F48" s="33">
        <f>F49+F50+F51</f>
        <v>0</v>
      </c>
      <c r="G48" s="33">
        <f>G49+G50+G51</f>
        <v>0</v>
      </c>
      <c r="H48" s="405"/>
      <c r="I48" s="406"/>
    </row>
    <row r="49" spans="1:9" ht="12.75" customHeight="1" hidden="1">
      <c r="A49" s="6"/>
      <c r="B49" s="29">
        <v>2710</v>
      </c>
      <c r="C49" s="30" t="s">
        <v>70</v>
      </c>
      <c r="D49" s="34">
        <f>'2019-3 СВОД'!D448</f>
        <v>0</v>
      </c>
      <c r="E49" s="34">
        <f>'2019-3 СВОД'!E448</f>
        <v>0</v>
      </c>
      <c r="F49" s="34">
        <f>'2019-3 СВОД'!F448</f>
        <v>0</v>
      </c>
      <c r="G49" s="34">
        <f>'2019-3 СВОД'!G448</f>
        <v>0</v>
      </c>
      <c r="H49" s="405"/>
      <c r="I49" s="406"/>
    </row>
    <row r="50" spans="1:9" ht="12.75" customHeight="1" hidden="1">
      <c r="A50" s="6"/>
      <c r="B50" s="29">
        <v>2720</v>
      </c>
      <c r="C50" s="30" t="s">
        <v>71</v>
      </c>
      <c r="D50" s="34">
        <f>'2019-3 СВОД'!D449</f>
        <v>0</v>
      </c>
      <c r="E50" s="34">
        <f>'2019-3 СВОД'!E449</f>
        <v>0</v>
      </c>
      <c r="F50" s="34">
        <f>'2019-3 СВОД'!F449</f>
        <v>0</v>
      </c>
      <c r="G50" s="34">
        <f>'2019-3 СВОД'!G449</f>
        <v>0</v>
      </c>
      <c r="H50" s="405"/>
      <c r="I50" s="406"/>
    </row>
    <row r="51" spans="1:9" ht="12.75" customHeight="1" hidden="1">
      <c r="A51" s="6"/>
      <c r="B51" s="29">
        <v>2730</v>
      </c>
      <c r="C51" s="30" t="s">
        <v>72</v>
      </c>
      <c r="D51" s="34">
        <f>'2019-3 СВОД'!D450</f>
        <v>0</v>
      </c>
      <c r="E51" s="34">
        <f>'2019-3 СВОД'!E450</f>
        <v>0</v>
      </c>
      <c r="F51" s="34">
        <f>'2019-3 СВОД'!F450</f>
        <v>0</v>
      </c>
      <c r="G51" s="34">
        <f>'2019-3 СВОД'!G450</f>
        <v>0</v>
      </c>
      <c r="H51" s="405"/>
      <c r="I51" s="406"/>
    </row>
    <row r="52" spans="1:9" ht="12.75" customHeight="1" hidden="1">
      <c r="A52" s="6"/>
      <c r="B52" s="27">
        <v>2800</v>
      </c>
      <c r="C52" s="28" t="s">
        <v>73</v>
      </c>
      <c r="D52" s="34">
        <f>'2019-3 СВОД'!D451</f>
        <v>0</v>
      </c>
      <c r="E52" s="34">
        <f>'2019-3 СВОД'!E451</f>
        <v>0</v>
      </c>
      <c r="F52" s="34">
        <f>'2019-3 СВОД'!F451</f>
        <v>0</v>
      </c>
      <c r="G52" s="34">
        <f>'2019-3 СВОД'!G451</f>
        <v>0</v>
      </c>
      <c r="H52" s="405"/>
      <c r="I52" s="406"/>
    </row>
    <row r="53" spans="1:9" ht="12.75" customHeight="1" hidden="1">
      <c r="A53" s="21"/>
      <c r="B53" s="27">
        <v>3000</v>
      </c>
      <c r="C53" s="28" t="s">
        <v>40</v>
      </c>
      <c r="D53" s="40">
        <f>D54+D68</f>
        <v>0</v>
      </c>
      <c r="E53" s="40">
        <f>E54+E68</f>
        <v>0</v>
      </c>
      <c r="F53" s="40">
        <f>F54+F68</f>
        <v>0</v>
      </c>
      <c r="G53" s="40">
        <f>G54+G68</f>
        <v>0</v>
      </c>
      <c r="H53" s="405"/>
      <c r="I53" s="406"/>
    </row>
    <row r="54" spans="1:9" ht="12.75" customHeight="1" hidden="1">
      <c r="A54" s="21"/>
      <c r="B54" s="27">
        <v>3100</v>
      </c>
      <c r="C54" s="28" t="s">
        <v>41</v>
      </c>
      <c r="D54" s="40">
        <f>D55+D56+D59+D62+D66+D67+D68</f>
        <v>0</v>
      </c>
      <c r="E54" s="40">
        <f>E55+E56+E59+E62+E66+E67+E68</f>
        <v>0</v>
      </c>
      <c r="F54" s="40">
        <f>F55+F56+F59+F62+F66+F67+F68</f>
        <v>0</v>
      </c>
      <c r="G54" s="40">
        <f>G55+G56+G59+G62+G66+G67+G68</f>
        <v>0</v>
      </c>
      <c r="H54" s="405"/>
      <c r="I54" s="406"/>
    </row>
    <row r="55" spans="1:9" ht="12.75" customHeight="1" hidden="1">
      <c r="A55" s="21"/>
      <c r="B55" s="29">
        <v>3110</v>
      </c>
      <c r="C55" s="30" t="s">
        <v>74</v>
      </c>
      <c r="D55" s="34">
        <f>'2019-3 СВОД'!D454</f>
        <v>0</v>
      </c>
      <c r="E55" s="34">
        <f>'2019-3 СВОД'!E454</f>
        <v>0</v>
      </c>
      <c r="F55" s="34">
        <f>'2019-3 СВОД'!F454</f>
        <v>0</v>
      </c>
      <c r="G55" s="34">
        <f>'2019-3 СВОД'!G454</f>
        <v>0</v>
      </c>
      <c r="H55" s="405"/>
      <c r="I55" s="406"/>
    </row>
    <row r="56" spans="1:9" ht="12.75" customHeight="1" hidden="1">
      <c r="A56" s="21"/>
      <c r="B56" s="29">
        <v>3120</v>
      </c>
      <c r="C56" s="30" t="s">
        <v>75</v>
      </c>
      <c r="D56" s="40">
        <f>D57+D58</f>
        <v>0</v>
      </c>
      <c r="E56" s="40">
        <f>E57+E58</f>
        <v>0</v>
      </c>
      <c r="F56" s="40">
        <f>F57+F58</f>
        <v>0</v>
      </c>
      <c r="G56" s="40">
        <f>G57+G58</f>
        <v>0</v>
      </c>
      <c r="H56" s="405"/>
      <c r="I56" s="406"/>
    </row>
    <row r="57" spans="1:9" ht="12.75" customHeight="1" hidden="1">
      <c r="A57" s="21"/>
      <c r="B57" s="29">
        <v>3121</v>
      </c>
      <c r="C57" s="30" t="s">
        <v>76</v>
      </c>
      <c r="D57" s="34">
        <f>'2019-3 СВОД'!D456</f>
        <v>0</v>
      </c>
      <c r="E57" s="34">
        <f>'2019-3 СВОД'!E456</f>
        <v>0</v>
      </c>
      <c r="F57" s="34">
        <f>'2019-3 СВОД'!F456</f>
        <v>0</v>
      </c>
      <c r="G57" s="34">
        <f>'2019-3 СВОД'!G456</f>
        <v>0</v>
      </c>
      <c r="H57" s="405"/>
      <c r="I57" s="406"/>
    </row>
    <row r="58" spans="1:9" ht="12.75" customHeight="1" hidden="1">
      <c r="A58" s="21"/>
      <c r="B58" s="29">
        <v>3122</v>
      </c>
      <c r="C58" s="30" t="s">
        <v>77</v>
      </c>
      <c r="D58" s="34">
        <f>'2019-3 СВОД'!D457</f>
        <v>0</v>
      </c>
      <c r="E58" s="34">
        <f>'2019-3 СВОД'!E457</f>
        <v>0</v>
      </c>
      <c r="F58" s="34">
        <f>'2019-3 СВОД'!F457</f>
        <v>0</v>
      </c>
      <c r="G58" s="34">
        <f>'2019-3 СВОД'!G457</f>
        <v>0</v>
      </c>
      <c r="H58" s="405"/>
      <c r="I58" s="406"/>
    </row>
    <row r="59" spans="1:9" ht="12.75" customHeight="1" hidden="1">
      <c r="A59" s="21"/>
      <c r="B59" s="29">
        <v>3130</v>
      </c>
      <c r="C59" s="30" t="s">
        <v>78</v>
      </c>
      <c r="D59" s="40">
        <f>D60+D61</f>
        <v>0</v>
      </c>
      <c r="E59" s="40">
        <f>E60+E61</f>
        <v>0</v>
      </c>
      <c r="F59" s="40">
        <f>F60+F61</f>
        <v>0</v>
      </c>
      <c r="G59" s="40">
        <f>G60+G61</f>
        <v>0</v>
      </c>
      <c r="H59" s="405"/>
      <c r="I59" s="406"/>
    </row>
    <row r="60" spans="1:9" ht="12.75" customHeight="1" hidden="1">
      <c r="A60" s="21"/>
      <c r="B60" s="29">
        <v>3131</v>
      </c>
      <c r="C60" s="30" t="s">
        <v>79</v>
      </c>
      <c r="D60" s="34">
        <f>'2019-3 СВОД'!D459</f>
        <v>0</v>
      </c>
      <c r="E60" s="34">
        <f>'2019-3 СВОД'!E459</f>
        <v>0</v>
      </c>
      <c r="F60" s="34">
        <f>'2019-3 СВОД'!F459</f>
        <v>0</v>
      </c>
      <c r="G60" s="34">
        <f>'2019-3 СВОД'!G459</f>
        <v>0</v>
      </c>
      <c r="H60" s="405"/>
      <c r="I60" s="406"/>
    </row>
    <row r="61" spans="1:9" ht="12.75" customHeight="1" hidden="1">
      <c r="A61" s="21"/>
      <c r="B61" s="29">
        <v>3132</v>
      </c>
      <c r="C61" s="30" t="s">
        <v>80</v>
      </c>
      <c r="D61" s="34">
        <f>'2019-3 СВОД'!D460</f>
        <v>0</v>
      </c>
      <c r="E61" s="34">
        <f>'2019-3 СВОД'!E460</f>
        <v>0</v>
      </c>
      <c r="F61" s="34">
        <f>'2019-3 СВОД'!F460</f>
        <v>0</v>
      </c>
      <c r="G61" s="34">
        <f>'2019-3 СВОД'!G460</f>
        <v>0</v>
      </c>
      <c r="H61" s="405"/>
      <c r="I61" s="406"/>
    </row>
    <row r="62" spans="1:9" ht="12.75" customHeight="1" hidden="1">
      <c r="A62" s="21"/>
      <c r="B62" s="29">
        <v>3140</v>
      </c>
      <c r="C62" s="30" t="s">
        <v>81</v>
      </c>
      <c r="D62" s="40">
        <f>D63+D64+D65</f>
        <v>0</v>
      </c>
      <c r="E62" s="40">
        <f>E63+E64+E65</f>
        <v>0</v>
      </c>
      <c r="F62" s="40">
        <f>F63+F64+F65</f>
        <v>0</v>
      </c>
      <c r="G62" s="40">
        <f>G63+G64+G65</f>
        <v>0</v>
      </c>
      <c r="H62" s="405"/>
      <c r="I62" s="406"/>
    </row>
    <row r="63" spans="1:9" ht="12.75" customHeight="1" hidden="1">
      <c r="A63" s="21"/>
      <c r="B63" s="29">
        <v>3141</v>
      </c>
      <c r="C63" s="30" t="s">
        <v>82</v>
      </c>
      <c r="D63" s="34">
        <f>'2019-3 СВОД'!D462</f>
        <v>0</v>
      </c>
      <c r="E63" s="34">
        <f>'2019-3 СВОД'!E462</f>
        <v>0</v>
      </c>
      <c r="F63" s="34">
        <f>'2019-3 СВОД'!F462</f>
        <v>0</v>
      </c>
      <c r="G63" s="34">
        <f>'2019-3 СВОД'!G462</f>
        <v>0</v>
      </c>
      <c r="H63" s="405"/>
      <c r="I63" s="406"/>
    </row>
    <row r="64" spans="1:9" ht="12.75" customHeight="1" hidden="1">
      <c r="A64" s="21"/>
      <c r="B64" s="29">
        <v>3142</v>
      </c>
      <c r="C64" s="30" t="s">
        <v>83</v>
      </c>
      <c r="D64" s="34">
        <f>'2019-3 СВОД'!D463</f>
        <v>0</v>
      </c>
      <c r="E64" s="34">
        <f>'2019-3 СВОД'!E463</f>
        <v>0</v>
      </c>
      <c r="F64" s="34">
        <f>'2019-3 СВОД'!F463</f>
        <v>0</v>
      </c>
      <c r="G64" s="34">
        <f>'2019-3 СВОД'!G463</f>
        <v>0</v>
      </c>
      <c r="H64" s="405"/>
      <c r="I64" s="406"/>
    </row>
    <row r="65" spans="1:9" ht="12.75" customHeight="1" hidden="1">
      <c r="A65" s="21"/>
      <c r="B65" s="29">
        <v>3143</v>
      </c>
      <c r="C65" s="30" t="s">
        <v>84</v>
      </c>
      <c r="D65" s="34">
        <f>'2019-3 СВОД'!D464</f>
        <v>0</v>
      </c>
      <c r="E65" s="34">
        <f>'2019-3 СВОД'!E464</f>
        <v>0</v>
      </c>
      <c r="F65" s="34">
        <f>'2019-3 СВОД'!F464</f>
        <v>0</v>
      </c>
      <c r="G65" s="34">
        <f>'2019-3 СВОД'!G464</f>
        <v>0</v>
      </c>
      <c r="H65" s="405"/>
      <c r="I65" s="406"/>
    </row>
    <row r="66" spans="1:9" ht="12.75" customHeight="1" hidden="1">
      <c r="A66" s="21"/>
      <c r="B66" s="29">
        <v>3150</v>
      </c>
      <c r="C66" s="30" t="s">
        <v>85</v>
      </c>
      <c r="D66" s="34">
        <f>'2019-3 СВОД'!D465</f>
        <v>0</v>
      </c>
      <c r="E66" s="34">
        <f>'2019-3 СВОД'!E465</f>
        <v>0</v>
      </c>
      <c r="F66" s="34">
        <f>'2019-3 СВОД'!F465</f>
        <v>0</v>
      </c>
      <c r="G66" s="34">
        <f>'2019-3 СВОД'!G465</f>
        <v>0</v>
      </c>
      <c r="H66" s="405"/>
      <c r="I66" s="406"/>
    </row>
    <row r="67" spans="1:9" ht="12.75" customHeight="1" hidden="1">
      <c r="A67" s="21"/>
      <c r="B67" s="29">
        <v>3160</v>
      </c>
      <c r="C67" s="30" t="s">
        <v>86</v>
      </c>
      <c r="D67" s="34">
        <f>'2019-3 СВОД'!D466</f>
        <v>0</v>
      </c>
      <c r="E67" s="34">
        <f>'2019-3 СВОД'!E466</f>
        <v>0</v>
      </c>
      <c r="F67" s="34">
        <f>'2019-3 СВОД'!F466</f>
        <v>0</v>
      </c>
      <c r="G67" s="34">
        <f>'2019-3 СВОД'!G466</f>
        <v>0</v>
      </c>
      <c r="H67" s="405"/>
      <c r="I67" s="406"/>
    </row>
    <row r="68" spans="1:9" ht="12.75" customHeight="1" hidden="1">
      <c r="A68" s="21"/>
      <c r="B68" s="27">
        <v>3200</v>
      </c>
      <c r="C68" s="28" t="s">
        <v>87</v>
      </c>
      <c r="D68" s="40">
        <f>D69+D70+D71+D72</f>
        <v>0</v>
      </c>
      <c r="E68" s="40">
        <f>E69+E70+E71+E72</f>
        <v>0</v>
      </c>
      <c r="F68" s="40">
        <f>F69+F70+F71+F72</f>
        <v>0</v>
      </c>
      <c r="G68" s="40">
        <f>G69+G70+G71+G72</f>
        <v>0</v>
      </c>
      <c r="H68" s="405"/>
      <c r="I68" s="406"/>
    </row>
    <row r="69" spans="1:9" ht="12.75" customHeight="1" hidden="1">
      <c r="A69" s="21"/>
      <c r="B69" s="29">
        <v>3210</v>
      </c>
      <c r="C69" s="30" t="s">
        <v>88</v>
      </c>
      <c r="D69" s="34">
        <f>'2019-3 СВОД'!D468</f>
        <v>0</v>
      </c>
      <c r="E69" s="34">
        <f>'2019-3 СВОД'!E468</f>
        <v>0</v>
      </c>
      <c r="F69" s="34">
        <f>'2019-3 СВОД'!F468</f>
        <v>0</v>
      </c>
      <c r="G69" s="34">
        <f>'2019-3 СВОД'!G468</f>
        <v>0</v>
      </c>
      <c r="H69" s="405"/>
      <c r="I69" s="406"/>
    </row>
    <row r="70" spans="1:9" ht="12.75" customHeight="1" hidden="1">
      <c r="A70" s="21"/>
      <c r="B70" s="29">
        <v>3220</v>
      </c>
      <c r="C70" s="30" t="s">
        <v>89</v>
      </c>
      <c r="D70" s="34">
        <f>'2019-3 СВОД'!D469</f>
        <v>0</v>
      </c>
      <c r="E70" s="34">
        <f>'2019-3 СВОД'!E469</f>
        <v>0</v>
      </c>
      <c r="F70" s="34">
        <f>'2019-3 СВОД'!F469</f>
        <v>0</v>
      </c>
      <c r="G70" s="34">
        <f>'2019-3 СВОД'!G469</f>
        <v>0</v>
      </c>
      <c r="H70" s="405"/>
      <c r="I70" s="406"/>
    </row>
    <row r="71" spans="1:9" ht="12.75" customHeight="1" hidden="1">
      <c r="A71" s="21"/>
      <c r="B71" s="29">
        <v>3230</v>
      </c>
      <c r="C71" s="30" t="s">
        <v>90</v>
      </c>
      <c r="D71" s="34">
        <f>'2019-3 СВОД'!D470</f>
        <v>0</v>
      </c>
      <c r="E71" s="34">
        <f>'2019-3 СВОД'!E470</f>
        <v>0</v>
      </c>
      <c r="F71" s="34">
        <f>'2019-3 СВОД'!F470</f>
        <v>0</v>
      </c>
      <c r="G71" s="34">
        <f>'2019-3 СВОД'!G470</f>
        <v>0</v>
      </c>
      <c r="H71" s="405"/>
      <c r="I71" s="406"/>
    </row>
    <row r="72" spans="1:9" ht="13.5" customHeight="1" hidden="1">
      <c r="A72" s="21"/>
      <c r="B72" s="29">
        <v>3240</v>
      </c>
      <c r="C72" s="30" t="s">
        <v>91</v>
      </c>
      <c r="D72" s="34">
        <f>'2019-3 СВОД'!D471</f>
        <v>0</v>
      </c>
      <c r="E72" s="34">
        <f>'2019-3 СВОД'!E471</f>
        <v>0</v>
      </c>
      <c r="F72" s="34">
        <f>'2019-3 СВОД'!F471</f>
        <v>0</v>
      </c>
      <c r="G72" s="34">
        <f>'2019-3 СВОД'!G471</f>
        <v>0</v>
      </c>
      <c r="H72" s="405"/>
      <c r="I72" s="406"/>
    </row>
    <row r="73" spans="1:9" s="19" customFormat="1" ht="13.5" customHeight="1">
      <c r="A73" s="7"/>
      <c r="B73" s="7"/>
      <c r="C73" s="20" t="s">
        <v>3</v>
      </c>
      <c r="D73" s="34">
        <f>D18+D53</f>
        <v>15283.16</v>
      </c>
      <c r="E73" s="34">
        <f>E18+E53</f>
        <v>24068.7</v>
      </c>
      <c r="F73" s="34">
        <f>F18+F53</f>
        <v>14599.6</v>
      </c>
      <c r="G73" s="34">
        <f>G18+G53</f>
        <v>3000</v>
      </c>
      <c r="H73" s="407"/>
      <c r="I73" s="408"/>
    </row>
    <row r="74" spans="1:8" ht="15">
      <c r="A74" s="115" t="s">
        <v>209</v>
      </c>
      <c r="B74" s="115" t="s">
        <v>209</v>
      </c>
      <c r="C74" s="115"/>
      <c r="D74" s="115"/>
      <c r="E74" s="115"/>
      <c r="F74" s="115"/>
      <c r="G74" s="115"/>
      <c r="H74" s="121"/>
    </row>
    <row r="75" spans="1:9" ht="15" customHeight="1">
      <c r="A75" s="444" t="s">
        <v>25</v>
      </c>
      <c r="B75" s="444"/>
      <c r="C75" s="444"/>
      <c r="D75" s="444"/>
      <c r="E75" s="444"/>
      <c r="F75" s="444"/>
      <c r="G75" s="444"/>
      <c r="H75" s="444"/>
      <c r="I75" s="444"/>
    </row>
    <row r="76" spans="1:9" ht="30" customHeight="1">
      <c r="A76" s="14" t="s">
        <v>20</v>
      </c>
      <c r="B76" s="8" t="s">
        <v>0</v>
      </c>
      <c r="C76" s="14" t="s">
        <v>1</v>
      </c>
      <c r="D76" s="14" t="s">
        <v>14</v>
      </c>
      <c r="E76" s="441" t="s">
        <v>15</v>
      </c>
      <c r="F76" s="441"/>
      <c r="G76" s="441"/>
      <c r="H76" s="14" t="s">
        <v>214</v>
      </c>
      <c r="I76" s="14" t="s">
        <v>215</v>
      </c>
    </row>
    <row r="77" spans="1:9" ht="13.5" thickBot="1">
      <c r="A77" s="17">
        <v>1</v>
      </c>
      <c r="B77" s="17">
        <v>1</v>
      </c>
      <c r="C77" s="38">
        <v>2</v>
      </c>
      <c r="D77" s="38">
        <v>3</v>
      </c>
      <c r="E77" s="427">
        <v>4</v>
      </c>
      <c r="F77" s="427"/>
      <c r="G77" s="427"/>
      <c r="H77" s="38">
        <v>5</v>
      </c>
      <c r="I77" s="38">
        <v>6</v>
      </c>
    </row>
    <row r="78" spans="1:9" s="55" customFormat="1" ht="13.5" thickTop="1">
      <c r="A78" s="54"/>
      <c r="B78" s="322">
        <v>1113140</v>
      </c>
      <c r="C78" s="477" t="s">
        <v>539</v>
      </c>
      <c r="D78" s="478"/>
      <c r="E78" s="478"/>
      <c r="F78" s="478"/>
      <c r="G78" s="478"/>
      <c r="H78" s="478"/>
      <c r="I78" s="479"/>
    </row>
    <row r="79" spans="1:9" s="153" customFormat="1" ht="12.75">
      <c r="A79" s="68"/>
      <c r="B79" s="327"/>
      <c r="C79" s="455" t="s">
        <v>540</v>
      </c>
      <c r="D79" s="456"/>
      <c r="E79" s="456"/>
      <c r="F79" s="456"/>
      <c r="G79" s="456"/>
      <c r="H79" s="456"/>
      <c r="I79" s="457"/>
    </row>
    <row r="80" spans="1:9" s="60" customFormat="1" ht="12.75">
      <c r="A80" s="58"/>
      <c r="B80" s="321"/>
      <c r="C80" s="61" t="s">
        <v>329</v>
      </c>
      <c r="D80" s="62"/>
      <c r="E80" s="427"/>
      <c r="F80" s="427"/>
      <c r="G80" s="427"/>
      <c r="H80" s="324"/>
      <c r="I80" s="324"/>
    </row>
    <row r="81" spans="1:9" s="60" customFormat="1" ht="12.75" customHeight="1">
      <c r="A81" s="58"/>
      <c r="B81" s="321"/>
      <c r="C81" s="63" t="s">
        <v>541</v>
      </c>
      <c r="D81" s="53" t="s">
        <v>260</v>
      </c>
      <c r="E81" s="452" t="s">
        <v>517</v>
      </c>
      <c r="F81" s="453"/>
      <c r="G81" s="454"/>
      <c r="H81" s="324">
        <v>2654</v>
      </c>
      <c r="I81" s="324">
        <v>3745</v>
      </c>
    </row>
    <row r="82" spans="1:9" s="60" customFormat="1" ht="12.75" customHeight="1">
      <c r="A82" s="58"/>
      <c r="B82" s="321"/>
      <c r="C82" s="63" t="s">
        <v>542</v>
      </c>
      <c r="D82" s="53" t="s">
        <v>531</v>
      </c>
      <c r="E82" s="452" t="s">
        <v>517</v>
      </c>
      <c r="F82" s="453"/>
      <c r="G82" s="454"/>
      <c r="H82" s="324">
        <v>2654</v>
      </c>
      <c r="I82" s="324">
        <v>3745</v>
      </c>
    </row>
    <row r="83" spans="1:9" s="60" customFormat="1" ht="12.75">
      <c r="A83" s="58"/>
      <c r="B83" s="321"/>
      <c r="C83" s="299" t="s">
        <v>331</v>
      </c>
      <c r="D83" s="53"/>
      <c r="E83" s="452"/>
      <c r="F83" s="453"/>
      <c r="G83" s="454"/>
      <c r="H83" s="324"/>
      <c r="I83" s="324">
        <v>0</v>
      </c>
    </row>
    <row r="84" spans="1:9" s="60" customFormat="1" ht="12.75">
      <c r="A84" s="58"/>
      <c r="B84" s="321"/>
      <c r="C84" s="63" t="s">
        <v>543</v>
      </c>
      <c r="D84" s="53" t="s">
        <v>145</v>
      </c>
      <c r="E84" s="452" t="s">
        <v>522</v>
      </c>
      <c r="F84" s="453"/>
      <c r="G84" s="454"/>
      <c r="H84" s="328">
        <v>5500.979653353429</v>
      </c>
      <c r="I84" s="328">
        <v>5500.560747663551</v>
      </c>
    </row>
    <row r="85" spans="1:9" s="60" customFormat="1" ht="12.75" customHeight="1">
      <c r="A85" s="58"/>
      <c r="B85" s="321"/>
      <c r="C85" s="63" t="s">
        <v>544</v>
      </c>
      <c r="D85" s="53" t="s">
        <v>145</v>
      </c>
      <c r="E85" s="452" t="s">
        <v>522</v>
      </c>
      <c r="F85" s="453"/>
      <c r="G85" s="454"/>
      <c r="H85" s="328">
        <v>5387.942727957799</v>
      </c>
      <c r="I85" s="328">
        <v>5420.453938584779</v>
      </c>
    </row>
    <row r="86" spans="1:9" s="60" customFormat="1" ht="12.75" customHeight="1">
      <c r="A86" s="58"/>
      <c r="B86" s="321"/>
      <c r="C86" s="299" t="s">
        <v>333</v>
      </c>
      <c r="D86" s="53"/>
      <c r="E86" s="452"/>
      <c r="F86" s="453"/>
      <c r="G86" s="454"/>
      <c r="H86" s="324"/>
      <c r="I86" s="324">
        <v>0</v>
      </c>
    </row>
    <row r="87" spans="1:9" s="308" customFormat="1" ht="12.75">
      <c r="A87" s="306"/>
      <c r="B87" s="321"/>
      <c r="C87" s="63" t="s">
        <v>545</v>
      </c>
      <c r="D87" s="53" t="s">
        <v>123</v>
      </c>
      <c r="E87" s="452" t="s">
        <v>522</v>
      </c>
      <c r="F87" s="453"/>
      <c r="G87" s="454"/>
      <c r="H87" s="326">
        <v>60.621288259479215</v>
      </c>
      <c r="I87" s="326">
        <v>85.54134307903152</v>
      </c>
    </row>
    <row r="88" spans="1:9" s="308" customFormat="1" ht="12.75">
      <c r="A88" s="306"/>
      <c r="B88" s="321"/>
      <c r="C88" s="200" t="s">
        <v>546</v>
      </c>
      <c r="D88" s="62" t="s">
        <v>123</v>
      </c>
      <c r="E88" s="452" t="s">
        <v>522</v>
      </c>
      <c r="F88" s="453"/>
      <c r="G88" s="454"/>
      <c r="H88" s="326">
        <v>1.6691823899371068</v>
      </c>
      <c r="I88" s="326">
        <v>2.3553459119496853</v>
      </c>
    </row>
    <row r="89" ht="12.75">
      <c r="A89" s="22"/>
    </row>
    <row r="90" spans="1:9" ht="30.75" customHeight="1">
      <c r="A90" s="444" t="s">
        <v>27</v>
      </c>
      <c r="B90" s="444"/>
      <c r="C90" s="444"/>
      <c r="D90" s="444"/>
      <c r="E90" s="444"/>
      <c r="F90" s="444"/>
      <c r="G90" s="444"/>
      <c r="H90" s="444"/>
      <c r="I90" s="444"/>
    </row>
    <row r="91" spans="1:9" ht="15">
      <c r="A91" s="446"/>
      <c r="B91" s="446"/>
      <c r="C91" s="446"/>
      <c r="D91" s="446"/>
      <c r="E91" s="446"/>
      <c r="F91" s="446"/>
      <c r="G91" s="446"/>
      <c r="H91" s="446"/>
      <c r="I91" s="446"/>
    </row>
    <row r="92" spans="1:9" ht="15">
      <c r="A92" s="446"/>
      <c r="B92" s="446"/>
      <c r="C92" s="446"/>
      <c r="D92" s="446"/>
      <c r="E92" s="446"/>
      <c r="F92" s="446"/>
      <c r="G92" s="446"/>
      <c r="H92" s="446"/>
      <c r="I92" s="446"/>
    </row>
    <row r="93" spans="1:9" ht="15">
      <c r="A93" s="442" t="s">
        <v>210</v>
      </c>
      <c r="B93" s="442"/>
      <c r="C93" s="442"/>
      <c r="D93" s="442"/>
      <c r="E93" s="442"/>
      <c r="F93" s="442"/>
      <c r="G93" s="442"/>
      <c r="H93" s="442"/>
      <c r="I93" s="442"/>
    </row>
    <row r="94" ht="12.75">
      <c r="I94" s="2" t="s">
        <v>4</v>
      </c>
    </row>
    <row r="95" spans="1:9" s="19" customFormat="1" ht="12.75">
      <c r="A95" s="443" t="s">
        <v>3</v>
      </c>
      <c r="B95" s="443"/>
      <c r="C95" s="23"/>
      <c r="D95" s="18"/>
      <c r="E95" s="18"/>
      <c r="F95" s="18"/>
      <c r="G95" s="18"/>
      <c r="H95" s="443"/>
      <c r="I95" s="443"/>
    </row>
    <row r="96" ht="12.75">
      <c r="A96" s="3"/>
    </row>
    <row r="97" spans="1:9" ht="30.75" customHeight="1">
      <c r="A97" s="444" t="s">
        <v>211</v>
      </c>
      <c r="B97" s="444"/>
      <c r="C97" s="444"/>
      <c r="D97" s="444"/>
      <c r="E97" s="444"/>
      <c r="F97" s="444"/>
      <c r="G97" s="444"/>
      <c r="H97" s="444"/>
      <c r="I97" s="444"/>
    </row>
    <row r="98" ht="12.75">
      <c r="I98" s="2" t="s">
        <v>4</v>
      </c>
    </row>
    <row r="99" spans="1:9" ht="36.75" customHeight="1">
      <c r="A99" s="441" t="s">
        <v>23</v>
      </c>
      <c r="B99" s="441"/>
      <c r="C99" s="441" t="s">
        <v>1</v>
      </c>
      <c r="D99" s="441" t="s">
        <v>7</v>
      </c>
      <c r="E99" s="441"/>
      <c r="F99" s="441" t="s">
        <v>178</v>
      </c>
      <c r="G99" s="441"/>
      <c r="H99" s="441" t="s">
        <v>212</v>
      </c>
      <c r="I99" s="441"/>
    </row>
    <row r="100" spans="1:9" ht="36" customHeight="1">
      <c r="A100" s="441"/>
      <c r="B100" s="441"/>
      <c r="C100" s="441"/>
      <c r="D100" s="14" t="s">
        <v>28</v>
      </c>
      <c r="E100" s="14" t="s">
        <v>36</v>
      </c>
      <c r="F100" s="14" t="s">
        <v>28</v>
      </c>
      <c r="G100" s="14" t="s">
        <v>36</v>
      </c>
      <c r="H100" s="441"/>
      <c r="I100" s="441"/>
    </row>
    <row r="101" spans="1:9" ht="13.5" thickBot="1">
      <c r="A101" s="445">
        <v>1</v>
      </c>
      <c r="B101" s="445"/>
      <c r="C101" s="17">
        <v>2</v>
      </c>
      <c r="D101" s="16">
        <v>3</v>
      </c>
      <c r="E101" s="16">
        <v>4</v>
      </c>
      <c r="F101" s="16">
        <v>5</v>
      </c>
      <c r="G101" s="16">
        <v>6</v>
      </c>
      <c r="H101" s="445">
        <v>7</v>
      </c>
      <c r="I101" s="445"/>
    </row>
    <row r="102" spans="1:9" ht="13.5" thickTop="1">
      <c r="A102" s="447"/>
      <c r="B102" s="447"/>
      <c r="C102" s="15"/>
      <c r="D102" s="25"/>
      <c r="E102" s="25"/>
      <c r="F102" s="25"/>
      <c r="G102" s="25"/>
      <c r="H102" s="440"/>
      <c r="I102" s="440"/>
    </row>
    <row r="103" spans="1:9" ht="12.75">
      <c r="A103" s="402"/>
      <c r="B103" s="402"/>
      <c r="C103" s="12"/>
      <c r="D103" s="11"/>
      <c r="E103" s="11"/>
      <c r="F103" s="11"/>
      <c r="G103" s="11"/>
      <c r="H103" s="427"/>
      <c r="I103" s="427"/>
    </row>
    <row r="104" spans="1:9" ht="12.75">
      <c r="A104" s="402"/>
      <c r="B104" s="402"/>
      <c r="C104" s="12"/>
      <c r="D104" s="11"/>
      <c r="E104" s="11"/>
      <c r="F104" s="11"/>
      <c r="G104" s="11"/>
      <c r="H104" s="427"/>
      <c r="I104" s="427"/>
    </row>
    <row r="105" spans="1:9" ht="12.75">
      <c r="A105" s="402"/>
      <c r="B105" s="402"/>
      <c r="C105" s="12"/>
      <c r="D105" s="11"/>
      <c r="E105" s="11"/>
      <c r="F105" s="11"/>
      <c r="G105" s="11"/>
      <c r="H105" s="427"/>
      <c r="I105" s="427"/>
    </row>
    <row r="106" spans="1:9" ht="12.75">
      <c r="A106" s="402"/>
      <c r="B106" s="402"/>
      <c r="C106" s="12"/>
      <c r="D106" s="11"/>
      <c r="E106" s="11"/>
      <c r="F106" s="11"/>
      <c r="G106" s="11"/>
      <c r="H106" s="427"/>
      <c r="I106" s="427"/>
    </row>
    <row r="107" ht="15">
      <c r="A107" s="1"/>
    </row>
    <row r="108" spans="1:9" ht="14.25" customHeight="1">
      <c r="A108" s="444" t="s">
        <v>25</v>
      </c>
      <c r="B108" s="444"/>
      <c r="C108" s="444"/>
      <c r="D108" s="444"/>
      <c r="E108" s="444"/>
      <c r="F108" s="444"/>
      <c r="G108" s="444"/>
      <c r="H108" s="444"/>
      <c r="I108" s="444"/>
    </row>
    <row r="109" spans="1:9" ht="72.75" customHeight="1">
      <c r="A109" s="14" t="s">
        <v>20</v>
      </c>
      <c r="B109" s="8" t="s">
        <v>0</v>
      </c>
      <c r="C109" s="14" t="s">
        <v>1</v>
      </c>
      <c r="D109" s="14" t="s">
        <v>14</v>
      </c>
      <c r="E109" s="14" t="s">
        <v>15</v>
      </c>
      <c r="F109" s="14" t="s">
        <v>29</v>
      </c>
      <c r="G109" s="14" t="s">
        <v>30</v>
      </c>
      <c r="H109" s="14" t="s">
        <v>31</v>
      </c>
      <c r="I109" s="14" t="s">
        <v>32</v>
      </c>
    </row>
    <row r="110" spans="1:9" ht="13.5" thickBot="1">
      <c r="A110" s="17">
        <v>1</v>
      </c>
      <c r="B110" s="17">
        <v>2</v>
      </c>
      <c r="C110" s="16">
        <v>3</v>
      </c>
      <c r="D110" s="16">
        <v>4</v>
      </c>
      <c r="E110" s="16">
        <v>5</v>
      </c>
      <c r="F110" s="16">
        <v>6</v>
      </c>
      <c r="G110" s="16">
        <v>7</v>
      </c>
      <c r="H110" s="16">
        <v>8</v>
      </c>
      <c r="I110" s="16">
        <v>9</v>
      </c>
    </row>
    <row r="111" spans="1:9" ht="13.5" hidden="1" thickTop="1">
      <c r="A111" s="24"/>
      <c r="B111" s="26"/>
      <c r="C111" s="26" t="s">
        <v>10</v>
      </c>
      <c r="D111" s="24"/>
      <c r="E111" s="24"/>
      <c r="F111" s="24"/>
      <c r="G111" s="24"/>
      <c r="H111" s="24"/>
      <c r="I111" s="24"/>
    </row>
    <row r="112" spans="1:9" ht="13.5" hidden="1" thickTop="1">
      <c r="A112" s="18"/>
      <c r="B112" s="12"/>
      <c r="C112" s="12" t="s">
        <v>26</v>
      </c>
      <c r="D112" s="18"/>
      <c r="E112" s="18"/>
      <c r="F112" s="18"/>
      <c r="G112" s="18"/>
      <c r="H112" s="18"/>
      <c r="I112" s="18"/>
    </row>
    <row r="113" spans="1:9" ht="13.5" hidden="1" thickTop="1">
      <c r="A113" s="18"/>
      <c r="B113" s="12"/>
      <c r="C113" s="12" t="s">
        <v>16</v>
      </c>
      <c r="D113" s="18"/>
      <c r="E113" s="18"/>
      <c r="F113" s="18"/>
      <c r="G113" s="18"/>
      <c r="H113" s="18"/>
      <c r="I113" s="18"/>
    </row>
    <row r="114" spans="1:9" ht="13.5" hidden="1" thickTop="1">
      <c r="A114" s="18"/>
      <c r="B114" s="12"/>
      <c r="C114" s="12" t="s">
        <v>2</v>
      </c>
      <c r="D114" s="18"/>
      <c r="E114" s="18"/>
      <c r="F114" s="18"/>
      <c r="G114" s="18"/>
      <c r="H114" s="18"/>
      <c r="I114" s="18"/>
    </row>
    <row r="115" spans="1:9" ht="13.5" hidden="1" thickTop="1">
      <c r="A115" s="18"/>
      <c r="B115" s="12"/>
      <c r="C115" s="12" t="s">
        <v>17</v>
      </c>
      <c r="D115" s="18"/>
      <c r="E115" s="18"/>
      <c r="F115" s="18"/>
      <c r="G115" s="18"/>
      <c r="H115" s="18"/>
      <c r="I115" s="18"/>
    </row>
    <row r="116" spans="1:9" ht="13.5" hidden="1" thickTop="1">
      <c r="A116" s="18"/>
      <c r="B116" s="12"/>
      <c r="C116" s="12" t="s">
        <v>2</v>
      </c>
      <c r="D116" s="18"/>
      <c r="E116" s="18"/>
      <c r="F116" s="18"/>
      <c r="G116" s="18"/>
      <c r="H116" s="18"/>
      <c r="I116" s="18"/>
    </row>
    <row r="117" spans="1:9" ht="13.5" hidden="1" thickTop="1">
      <c r="A117" s="18"/>
      <c r="B117" s="12"/>
      <c r="C117" s="12" t="s">
        <v>18</v>
      </c>
      <c r="D117" s="18"/>
      <c r="E117" s="18"/>
      <c r="F117" s="18"/>
      <c r="G117" s="18"/>
      <c r="H117" s="18"/>
      <c r="I117" s="18"/>
    </row>
    <row r="118" spans="1:9" ht="13.5" hidden="1" thickTop="1">
      <c r="A118" s="18"/>
      <c r="B118" s="12"/>
      <c r="C118" s="12" t="s">
        <v>33</v>
      </c>
      <c r="D118" s="18"/>
      <c r="E118" s="18"/>
      <c r="F118" s="18"/>
      <c r="G118" s="18"/>
      <c r="H118" s="18"/>
      <c r="I118" s="18"/>
    </row>
    <row r="119" spans="1:9" ht="13.5" hidden="1" thickTop="1">
      <c r="A119" s="18"/>
      <c r="B119" s="12"/>
      <c r="C119" s="12" t="s">
        <v>19</v>
      </c>
      <c r="D119" s="18"/>
      <c r="E119" s="18"/>
      <c r="F119" s="18"/>
      <c r="G119" s="18"/>
      <c r="H119" s="18"/>
      <c r="I119" s="18"/>
    </row>
    <row r="120" spans="1:9" ht="13.5" hidden="1" thickTop="1">
      <c r="A120" s="18"/>
      <c r="B120" s="12"/>
      <c r="C120" s="12" t="s">
        <v>2</v>
      </c>
      <c r="D120" s="18"/>
      <c r="E120" s="18"/>
      <c r="F120" s="18"/>
      <c r="G120" s="18"/>
      <c r="H120" s="18"/>
      <c r="I120" s="18"/>
    </row>
    <row r="121" spans="1:9" ht="13.5" hidden="1" thickTop="1">
      <c r="A121" s="18"/>
      <c r="B121" s="13"/>
      <c r="C121" s="13" t="s">
        <v>11</v>
      </c>
      <c r="D121" s="18"/>
      <c r="E121" s="18"/>
      <c r="F121" s="18"/>
      <c r="G121" s="18"/>
      <c r="H121" s="18"/>
      <c r="I121" s="18"/>
    </row>
    <row r="122" spans="1:9" ht="13.5" thickTop="1">
      <c r="A122" s="18"/>
      <c r="B122" s="12"/>
      <c r="C122" s="12" t="s">
        <v>2</v>
      </c>
      <c r="D122" s="18"/>
      <c r="E122" s="18"/>
      <c r="F122" s="18"/>
      <c r="G122" s="18"/>
      <c r="H122" s="18"/>
      <c r="I122" s="18"/>
    </row>
    <row r="123" ht="12.75">
      <c r="A123" s="22"/>
    </row>
    <row r="124" spans="1:9" ht="30.75" customHeight="1">
      <c r="A124" s="444" t="s">
        <v>34</v>
      </c>
      <c r="B124" s="444"/>
      <c r="C124" s="444"/>
      <c r="D124" s="444"/>
      <c r="E124" s="444"/>
      <c r="F124" s="444"/>
      <c r="G124" s="444"/>
      <c r="H124" s="444"/>
      <c r="I124" s="444"/>
    </row>
    <row r="125" spans="1:9" ht="15">
      <c r="A125" s="446"/>
      <c r="B125" s="446"/>
      <c r="C125" s="446"/>
      <c r="D125" s="446"/>
      <c r="E125" s="446"/>
      <c r="F125" s="446"/>
      <c r="G125" s="446"/>
      <c r="H125" s="446"/>
      <c r="I125" s="446"/>
    </row>
    <row r="126" spans="1:9" ht="15">
      <c r="A126" s="442" t="s">
        <v>213</v>
      </c>
      <c r="B126" s="442"/>
      <c r="C126" s="442"/>
      <c r="D126" s="442"/>
      <c r="E126" s="442"/>
      <c r="F126" s="442"/>
      <c r="G126" s="442"/>
      <c r="H126" s="442"/>
      <c r="I126" s="442"/>
    </row>
    <row r="127" spans="1:9" ht="12.75">
      <c r="A127" s="2" t="s">
        <v>35</v>
      </c>
      <c r="I127" s="2" t="s">
        <v>4</v>
      </c>
    </row>
    <row r="128" spans="1:9" s="19" customFormat="1" ht="12.75">
      <c r="A128" s="443" t="s">
        <v>3</v>
      </c>
      <c r="B128" s="443"/>
      <c r="C128" s="23"/>
      <c r="D128" s="18"/>
      <c r="E128" s="18"/>
      <c r="F128" s="18"/>
      <c r="G128" s="18"/>
      <c r="H128" s="443"/>
      <c r="I128" s="443"/>
    </row>
    <row r="129" ht="12.75">
      <c r="A129" s="4"/>
    </row>
    <row r="130" ht="12.75">
      <c r="A130" s="4"/>
    </row>
    <row r="131" spans="1:9" ht="18.75" customHeight="1">
      <c r="A131" s="393" t="s">
        <v>159</v>
      </c>
      <c r="B131" s="393"/>
      <c r="C131" s="393"/>
      <c r="E131" s="392" t="s">
        <v>8</v>
      </c>
      <c r="F131" s="392"/>
      <c r="H131" s="392" t="s">
        <v>108</v>
      </c>
      <c r="I131" s="392"/>
    </row>
    <row r="132" spans="1:9" ht="15">
      <c r="A132" s="5"/>
      <c r="B132" s="5"/>
      <c r="E132" s="431" t="s">
        <v>5</v>
      </c>
      <c r="F132" s="431"/>
      <c r="H132" s="431" t="s">
        <v>6</v>
      </c>
      <c r="I132" s="431"/>
    </row>
    <row r="133" spans="1:8" ht="12.75" customHeight="1">
      <c r="A133" s="10"/>
      <c r="B133" s="10"/>
      <c r="E133" s="9"/>
      <c r="H133" s="9"/>
    </row>
    <row r="134" spans="1:9" ht="18.75" customHeight="1">
      <c r="A134" s="393" t="s">
        <v>107</v>
      </c>
      <c r="B134" s="393"/>
      <c r="C134" s="393"/>
      <c r="E134" s="392" t="s">
        <v>8</v>
      </c>
      <c r="F134" s="392"/>
      <c r="H134" s="392" t="s">
        <v>109</v>
      </c>
      <c r="I134" s="392"/>
    </row>
    <row r="135" spans="1:9" ht="15">
      <c r="A135" s="5"/>
      <c r="E135" s="431" t="s">
        <v>5</v>
      </c>
      <c r="F135" s="431"/>
      <c r="H135" s="431" t="s">
        <v>6</v>
      </c>
      <c r="I135" s="431"/>
    </row>
    <row r="136" ht="12.75">
      <c r="A136" s="4"/>
    </row>
    <row r="137" ht="12.75">
      <c r="A137" s="4"/>
    </row>
  </sheetData>
  <sheetProtection/>
  <mergeCells count="71">
    <mergeCell ref="A1:I1"/>
    <mergeCell ref="A3:I3"/>
    <mergeCell ref="A4:I4"/>
    <mergeCell ref="B5:J5"/>
    <mergeCell ref="B6:J6"/>
    <mergeCell ref="B12:I12"/>
    <mergeCell ref="A14:B15"/>
    <mergeCell ref="C14:C15"/>
    <mergeCell ref="D14:D15"/>
    <mergeCell ref="E14:E15"/>
    <mergeCell ref="F14:G14"/>
    <mergeCell ref="H14:I15"/>
    <mergeCell ref="A16:B16"/>
    <mergeCell ref="H16:I16"/>
    <mergeCell ref="H17:I17"/>
    <mergeCell ref="H18:I73"/>
    <mergeCell ref="E76:G76"/>
    <mergeCell ref="E77:G77"/>
    <mergeCell ref="A75:I75"/>
    <mergeCell ref="A90:I90"/>
    <mergeCell ref="A91:I91"/>
    <mergeCell ref="A92:I92"/>
    <mergeCell ref="A93:I93"/>
    <mergeCell ref="A95:B95"/>
    <mergeCell ref="H95:I95"/>
    <mergeCell ref="A97:I97"/>
    <mergeCell ref="A99:B100"/>
    <mergeCell ref="C99:C100"/>
    <mergeCell ref="D99:E99"/>
    <mergeCell ref="F99:G99"/>
    <mergeCell ref="H99:I100"/>
    <mergeCell ref="A101:B101"/>
    <mergeCell ref="H101:I101"/>
    <mergeCell ref="A102:B102"/>
    <mergeCell ref="H102:I102"/>
    <mergeCell ref="A103:B103"/>
    <mergeCell ref="H103:I103"/>
    <mergeCell ref="H128:I128"/>
    <mergeCell ref="A104:B104"/>
    <mergeCell ref="H104:I104"/>
    <mergeCell ref="A105:B105"/>
    <mergeCell ref="H105:I105"/>
    <mergeCell ref="A106:B106"/>
    <mergeCell ref="H106:I106"/>
    <mergeCell ref="C79:I79"/>
    <mergeCell ref="E80:G80"/>
    <mergeCell ref="E81:G81"/>
    <mergeCell ref="C78:I78"/>
    <mergeCell ref="H134:I134"/>
    <mergeCell ref="A108:I108"/>
    <mergeCell ref="A124:I124"/>
    <mergeCell ref="A125:I125"/>
    <mergeCell ref="A126:I126"/>
    <mergeCell ref="A128:B128"/>
    <mergeCell ref="E88:G88"/>
    <mergeCell ref="E82:G82"/>
    <mergeCell ref="E83:G83"/>
    <mergeCell ref="E84:G84"/>
    <mergeCell ref="E85:G85"/>
    <mergeCell ref="E86:G86"/>
    <mergeCell ref="E87:G87"/>
    <mergeCell ref="E135:F135"/>
    <mergeCell ref="H135:I135"/>
    <mergeCell ref="B8:C8"/>
    <mergeCell ref="A131:C131"/>
    <mergeCell ref="E131:F131"/>
    <mergeCell ref="H131:I131"/>
    <mergeCell ref="E132:F132"/>
    <mergeCell ref="H132:I132"/>
    <mergeCell ref="A134:C134"/>
    <mergeCell ref="E134:F134"/>
  </mergeCells>
  <printOptions horizontalCentered="1"/>
  <pageMargins left="0.2362204724409449" right="0.15748031496062992" top="0.1968503937007874" bottom="0.15748031496062992" header="0.1968503937007874" footer="0.11811023622047245"/>
  <pageSetup fitToHeight="0" fitToWidth="1"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sheetPr>
    <tabColor rgb="FFFFFF00"/>
  </sheetPr>
  <dimension ref="A1:K250"/>
  <sheetViews>
    <sheetView view="pageBreakPreview" zoomScale="90" zoomScaleSheetLayoutView="90" zoomScalePageLayoutView="0" workbookViewId="0" topLeftCell="B173">
      <selection activeCell="H189" sqref="H189"/>
    </sheetView>
  </sheetViews>
  <sheetFormatPr defaultColWidth="9.00390625" defaultRowHeight="12.75"/>
  <cols>
    <col min="1" max="1" width="6.375" style="0" hidden="1" customWidth="1"/>
    <col min="2" max="2" width="7.625" style="0" customWidth="1"/>
    <col min="3" max="3" width="84.50390625" style="0" customWidth="1"/>
    <col min="4" max="4" width="8.375" style="0" customWidth="1"/>
    <col min="5" max="6" width="8.50390625" style="0" customWidth="1"/>
    <col min="7" max="7" width="11.375" style="0" customWidth="1"/>
    <col min="8" max="8" width="32.50390625" style="0" customWidth="1"/>
    <col min="9" max="9" width="32.375" style="0" customWidth="1"/>
    <col min="10" max="10" width="10.50390625" style="0" customWidth="1"/>
  </cols>
  <sheetData>
    <row r="1" spans="1:9" s="60" customFormat="1" ht="21" thickBot="1">
      <c r="A1" s="432" t="s">
        <v>217</v>
      </c>
      <c r="B1" s="432"/>
      <c r="C1" s="432"/>
      <c r="D1" s="432"/>
      <c r="E1" s="432"/>
      <c r="F1" s="432"/>
      <c r="G1" s="432"/>
      <c r="H1" s="432"/>
      <c r="I1" s="432"/>
    </row>
    <row r="2" s="60" customFormat="1" ht="9.75" customHeight="1" thickTop="1">
      <c r="A2" s="70"/>
    </row>
    <row r="3" spans="1:9" s="60" customFormat="1" ht="15">
      <c r="A3" s="433" t="s">
        <v>160</v>
      </c>
      <c r="B3" s="433"/>
      <c r="C3" s="433"/>
      <c r="D3" s="433"/>
      <c r="E3" s="433"/>
      <c r="F3" s="433"/>
      <c r="G3" s="433"/>
      <c r="H3" s="433"/>
      <c r="I3" s="433"/>
    </row>
    <row r="4" spans="1:9" s="60" customFormat="1" ht="12" customHeight="1">
      <c r="A4" s="434" t="s">
        <v>206</v>
      </c>
      <c r="B4" s="434"/>
      <c r="C4" s="434"/>
      <c r="D4" s="434"/>
      <c r="E4" s="434"/>
      <c r="F4" s="434"/>
      <c r="G4" s="434"/>
      <c r="H4" s="434"/>
      <c r="I4" s="434"/>
    </row>
    <row r="5" spans="1:10" s="60" customFormat="1" ht="12" customHeight="1">
      <c r="A5" s="112"/>
      <c r="B5" s="433" t="s">
        <v>205</v>
      </c>
      <c r="C5" s="433"/>
      <c r="D5" s="433"/>
      <c r="E5" s="433"/>
      <c r="F5" s="433"/>
      <c r="G5" s="433"/>
      <c r="H5" s="433"/>
      <c r="I5" s="433"/>
      <c r="J5" s="433"/>
    </row>
    <row r="6" spans="1:10" s="60" customFormat="1" ht="12" customHeight="1">
      <c r="A6" s="112"/>
      <c r="B6" s="434" t="s">
        <v>207</v>
      </c>
      <c r="C6" s="434"/>
      <c r="D6" s="434"/>
      <c r="E6" s="434"/>
      <c r="F6" s="434"/>
      <c r="G6" s="434"/>
      <c r="H6" s="434"/>
      <c r="I6" s="434"/>
      <c r="J6" s="434"/>
    </row>
    <row r="7" spans="1:9" s="60" customFormat="1" ht="12" customHeight="1">
      <c r="A7" s="112"/>
      <c r="B7" s="119"/>
      <c r="C7" s="116"/>
      <c r="D7" s="116"/>
      <c r="E7" s="116"/>
      <c r="F7" s="116"/>
      <c r="G7" s="116"/>
      <c r="H7" s="116"/>
      <c r="I7" s="116"/>
    </row>
    <row r="8" spans="1:9" s="60" customFormat="1" ht="12" customHeight="1">
      <c r="A8" s="112"/>
      <c r="B8" s="115" t="s">
        <v>241</v>
      </c>
      <c r="C8" s="116"/>
      <c r="D8" s="116"/>
      <c r="E8" s="116"/>
      <c r="F8" s="116"/>
      <c r="G8" s="116"/>
      <c r="H8" s="116"/>
      <c r="I8" s="116"/>
    </row>
    <row r="9" spans="1:9" s="60" customFormat="1" ht="12" customHeight="1">
      <c r="A9" s="112"/>
      <c r="B9" s="117"/>
      <c r="C9" s="118" t="s">
        <v>201</v>
      </c>
      <c r="D9" s="116"/>
      <c r="E9" s="120" t="s">
        <v>202</v>
      </c>
      <c r="F9" s="116"/>
      <c r="H9" s="116"/>
      <c r="I9" s="116"/>
    </row>
    <row r="10" spans="1:9" s="60" customFormat="1" ht="12" customHeight="1">
      <c r="A10" s="112"/>
      <c r="B10" s="121"/>
      <c r="C10" s="121"/>
      <c r="D10" s="121"/>
      <c r="E10" s="121"/>
      <c r="F10" s="121"/>
      <c r="G10" s="121"/>
      <c r="H10" s="121"/>
      <c r="I10" s="121"/>
    </row>
    <row r="11" spans="1:9" s="60" customFormat="1" ht="12" customHeight="1">
      <c r="A11" s="112"/>
      <c r="B11" s="115" t="s">
        <v>203</v>
      </c>
      <c r="C11" s="115"/>
      <c r="D11" s="115"/>
      <c r="E11" s="115"/>
      <c r="F11" s="115"/>
      <c r="G11" s="115"/>
      <c r="H11" s="115"/>
      <c r="I11" s="115"/>
    </row>
    <row r="12" spans="1:9" s="60" customFormat="1" ht="12" customHeight="1">
      <c r="A12" s="112"/>
      <c r="B12" s="400" t="s">
        <v>204</v>
      </c>
      <c r="C12" s="400"/>
      <c r="D12" s="400"/>
      <c r="E12" s="400"/>
      <c r="F12" s="400"/>
      <c r="G12" s="400"/>
      <c r="H12" s="400"/>
      <c r="I12" s="400"/>
    </row>
    <row r="13" s="60" customFormat="1" ht="12.75">
      <c r="I13" s="71" t="s">
        <v>4</v>
      </c>
    </row>
    <row r="14" spans="1:9" s="60" customFormat="1" ht="12.75">
      <c r="A14" s="417" t="s">
        <v>23</v>
      </c>
      <c r="B14" s="417"/>
      <c r="C14" s="417" t="s">
        <v>1</v>
      </c>
      <c r="D14" s="417" t="s">
        <v>175</v>
      </c>
      <c r="E14" s="417" t="s">
        <v>176</v>
      </c>
      <c r="F14" s="417" t="s">
        <v>177</v>
      </c>
      <c r="G14" s="417"/>
      <c r="H14" s="417" t="s">
        <v>208</v>
      </c>
      <c r="I14" s="417"/>
    </row>
    <row r="15" spans="1:9" s="60" customFormat="1" ht="27" customHeight="1">
      <c r="A15" s="417"/>
      <c r="B15" s="417"/>
      <c r="C15" s="417"/>
      <c r="D15" s="417"/>
      <c r="E15" s="417"/>
      <c r="F15" s="111" t="s">
        <v>24</v>
      </c>
      <c r="G15" s="111" t="s">
        <v>36</v>
      </c>
      <c r="H15" s="417"/>
      <c r="I15" s="417"/>
    </row>
    <row r="16" spans="1:9" s="60" customFormat="1" ht="13.5" thickBot="1">
      <c r="A16" s="415">
        <v>1</v>
      </c>
      <c r="B16" s="415"/>
      <c r="C16" s="113">
        <v>2</v>
      </c>
      <c r="D16" s="113">
        <v>3</v>
      </c>
      <c r="E16" s="113">
        <v>4</v>
      </c>
      <c r="F16" s="113">
        <v>5</v>
      </c>
      <c r="G16" s="113">
        <v>6</v>
      </c>
      <c r="H16" s="416">
        <v>7</v>
      </c>
      <c r="I16" s="416"/>
    </row>
    <row r="17" spans="2:9" s="165" customFormat="1" ht="13.5" thickTop="1">
      <c r="B17" s="169">
        <f>'2019-3 СВОД'!B473</f>
        <v>1113240</v>
      </c>
      <c r="C17" s="169" t="str">
        <f>'2019-3 СВОД'!C473</f>
        <v>Програма Інші заходи та заклади</v>
      </c>
      <c r="D17" s="166">
        <f>D18+D75</f>
        <v>6581.01</v>
      </c>
      <c r="E17" s="166">
        <f>E18+E75</f>
        <v>8696.8</v>
      </c>
      <c r="F17" s="166">
        <f>F18+F75</f>
        <v>9165.5</v>
      </c>
      <c r="G17" s="166">
        <f>G18+G75</f>
        <v>2010</v>
      </c>
      <c r="H17" s="428"/>
      <c r="I17" s="428"/>
    </row>
    <row r="18" spans="2:9" s="156" customFormat="1" ht="26.25">
      <c r="B18" s="154">
        <f>'2019-3 СВОД'!B474</f>
        <v>1113241</v>
      </c>
      <c r="C18" s="154" t="str">
        <f>'2019-3 СВОД'!C474</f>
        <v>Підпрограма Забезпечення діяльності інших закладів у сфері соціального захисту і соціального забезпечення</v>
      </c>
      <c r="D18" s="124">
        <f>D19+D54</f>
        <v>6290.91</v>
      </c>
      <c r="E18" s="124">
        <f>E19+E54</f>
        <v>8103</v>
      </c>
      <c r="F18" s="124">
        <f>F19+F54</f>
        <v>8465.9</v>
      </c>
      <c r="G18" s="124">
        <f>G19+G54</f>
        <v>2010</v>
      </c>
      <c r="H18" s="464"/>
      <c r="I18" s="465"/>
    </row>
    <row r="19" spans="1:9" ht="12.75">
      <c r="A19" s="6"/>
      <c r="B19" s="27">
        <v>2000</v>
      </c>
      <c r="C19" s="28" t="s">
        <v>37</v>
      </c>
      <c r="D19" s="33">
        <f>D20+D25+D42+D45+D49+D53</f>
        <v>6241.0599999999995</v>
      </c>
      <c r="E19" s="33">
        <f>E20+E25+E42+E45+E49+E53</f>
        <v>7890.5</v>
      </c>
      <c r="F19" s="33">
        <f>F20+F25+F42+F45+F49+F53</f>
        <v>8465.9</v>
      </c>
      <c r="G19" s="33">
        <f>G20+G25+G42+G45+G49+G53</f>
        <v>1940</v>
      </c>
      <c r="H19" s="402"/>
      <c r="I19" s="402"/>
    </row>
    <row r="20" spans="1:9" ht="12.75" customHeight="1">
      <c r="A20" s="6"/>
      <c r="B20" s="29">
        <v>2100</v>
      </c>
      <c r="C20" s="30" t="s">
        <v>38</v>
      </c>
      <c r="D20" s="35">
        <f>D21+D24</f>
        <v>3329.99</v>
      </c>
      <c r="E20" s="35">
        <f>E21+E24</f>
        <v>4332.838</v>
      </c>
      <c r="F20" s="35">
        <f>F21+F24</f>
        <v>4734.9</v>
      </c>
      <c r="G20" s="35">
        <f>G21+G24</f>
        <v>595.6</v>
      </c>
      <c r="H20" s="403" t="s">
        <v>594</v>
      </c>
      <c r="I20" s="404"/>
    </row>
    <row r="21" spans="1:9" ht="12.75" customHeight="1">
      <c r="A21" s="6"/>
      <c r="B21" s="29">
        <v>2110</v>
      </c>
      <c r="C21" s="30" t="s">
        <v>39</v>
      </c>
      <c r="D21" s="35">
        <f>D22+D23</f>
        <v>2751.35</v>
      </c>
      <c r="E21" s="35">
        <f>E22+E23</f>
        <v>3551.5</v>
      </c>
      <c r="F21" s="35">
        <f>F22+F23</f>
        <v>3881.1</v>
      </c>
      <c r="G21" s="35">
        <f>G22+G23</f>
        <v>488.2</v>
      </c>
      <c r="H21" s="405"/>
      <c r="I21" s="406"/>
    </row>
    <row r="22" spans="1:9" ht="12.75" customHeight="1">
      <c r="A22" s="6"/>
      <c r="B22" s="29">
        <v>2111</v>
      </c>
      <c r="C22" s="30" t="s">
        <v>42</v>
      </c>
      <c r="D22" s="34">
        <f>'2019-3 СВОД'!D478</f>
        <v>2751.35</v>
      </c>
      <c r="E22" s="34">
        <f>'2019-3 СВОД'!E478</f>
        <v>3551.5</v>
      </c>
      <c r="F22" s="34">
        <f>'2019-3 СВОД'!F478</f>
        <v>3881.1</v>
      </c>
      <c r="G22" s="34">
        <f>'2019-3 СВОД'!G478</f>
        <v>488.2</v>
      </c>
      <c r="H22" s="405"/>
      <c r="I22" s="406"/>
    </row>
    <row r="23" spans="1:9" ht="12.75" customHeight="1" hidden="1">
      <c r="A23" s="6"/>
      <c r="B23" s="29">
        <v>2112</v>
      </c>
      <c r="C23" s="30" t="s">
        <v>43</v>
      </c>
      <c r="D23" s="34">
        <f>'2019-3 СВОД'!D479</f>
        <v>0</v>
      </c>
      <c r="E23" s="34">
        <f>'2019-3 СВОД'!E479</f>
        <v>0</v>
      </c>
      <c r="F23" s="34">
        <f>'2019-3 СВОД'!F479</f>
        <v>0</v>
      </c>
      <c r="G23" s="34">
        <f>'2019-3 СВОД'!G479</f>
        <v>0</v>
      </c>
      <c r="H23" s="405"/>
      <c r="I23" s="406"/>
    </row>
    <row r="24" spans="1:9" ht="12.75" customHeight="1">
      <c r="A24" s="6"/>
      <c r="B24" s="29">
        <v>2120</v>
      </c>
      <c r="C24" s="30" t="s">
        <v>44</v>
      </c>
      <c r="D24" s="34">
        <f>'2019-3 СВОД'!D480</f>
        <v>578.64</v>
      </c>
      <c r="E24" s="34">
        <f>'2019-3 СВОД'!E480</f>
        <v>781.338</v>
      </c>
      <c r="F24" s="34">
        <f>'2019-3 СВОД'!F480</f>
        <v>853.8</v>
      </c>
      <c r="G24" s="34">
        <f>'2019-3 СВОД'!G480</f>
        <v>107.4</v>
      </c>
      <c r="H24" s="407"/>
      <c r="I24" s="408"/>
    </row>
    <row r="25" spans="1:9" ht="12.75" customHeight="1">
      <c r="A25" s="6"/>
      <c r="B25" s="27">
        <v>2200</v>
      </c>
      <c r="C25" s="28" t="s">
        <v>45</v>
      </c>
      <c r="D25" s="33">
        <f>SUM(D26:D32)+D39</f>
        <v>2910.1099999999997</v>
      </c>
      <c r="E25" s="33">
        <f>SUM(E26:E32)+E39</f>
        <v>3552.562</v>
      </c>
      <c r="F25" s="33">
        <f>SUM(F26:F32)+F39</f>
        <v>3725.7999999999997</v>
      </c>
      <c r="G25" s="33">
        <f>SUM(G26:G32)+G39</f>
        <v>1344.4</v>
      </c>
      <c r="H25" s="402"/>
      <c r="I25" s="402"/>
    </row>
    <row r="26" spans="1:9" ht="12.75">
      <c r="A26" s="6"/>
      <c r="B26" s="29">
        <v>2210</v>
      </c>
      <c r="C26" s="30" t="s">
        <v>46</v>
      </c>
      <c r="D26" s="34">
        <f>'2019-3 СВОД'!D482</f>
        <v>719.27</v>
      </c>
      <c r="E26" s="34">
        <f>'2019-3 СВОД'!E482</f>
        <v>706.7</v>
      </c>
      <c r="F26" s="34">
        <f>'2019-3 СВОД'!F482</f>
        <v>528.9000000000001</v>
      </c>
      <c r="G26" s="34">
        <f>'2019-3 СВОД'!G482</f>
        <v>0</v>
      </c>
      <c r="H26" s="402"/>
      <c r="I26" s="402"/>
    </row>
    <row r="27" spans="1:9" ht="12.75" customHeight="1">
      <c r="A27" s="6"/>
      <c r="B27" s="29">
        <v>2220</v>
      </c>
      <c r="C27" s="30" t="s">
        <v>47</v>
      </c>
      <c r="D27" s="34">
        <f>'2019-3 СВОД'!D483</f>
        <v>24.79</v>
      </c>
      <c r="E27" s="34">
        <f>'2019-3 СВОД'!E483</f>
        <v>28.3</v>
      </c>
      <c r="F27" s="34">
        <f>'2019-3 СВОД'!F483</f>
        <v>29.8</v>
      </c>
      <c r="G27" s="34">
        <f>'2019-3 СВОД'!G483</f>
        <v>0</v>
      </c>
      <c r="H27" s="402"/>
      <c r="I27" s="402"/>
    </row>
    <row r="28" spans="1:9" ht="21" customHeight="1">
      <c r="A28" s="6"/>
      <c r="B28" s="29">
        <v>2230</v>
      </c>
      <c r="C28" s="30" t="s">
        <v>48</v>
      </c>
      <c r="D28" s="34">
        <f>'2019-3 СВОД'!D484</f>
        <v>1077.3</v>
      </c>
      <c r="E28" s="34">
        <f>'2019-3 СВОД'!E484</f>
        <v>1394.8</v>
      </c>
      <c r="F28" s="34">
        <f>'2019-3 СВОД'!F484</f>
        <v>1585.8</v>
      </c>
      <c r="G28" s="34">
        <f>'2019-3 СВОД'!G484</f>
        <v>732.5</v>
      </c>
      <c r="H28" s="403" t="s">
        <v>606</v>
      </c>
      <c r="I28" s="404"/>
    </row>
    <row r="29" spans="1:9" ht="53.25" customHeight="1">
      <c r="A29" s="6"/>
      <c r="B29" s="29">
        <v>2240</v>
      </c>
      <c r="C29" s="30" t="s">
        <v>49</v>
      </c>
      <c r="D29" s="34">
        <f>'2019-3 СВОД'!D485</f>
        <v>262.93</v>
      </c>
      <c r="E29" s="34">
        <f>'2019-3 СВОД'!E485</f>
        <v>362.062</v>
      </c>
      <c r="F29" s="34">
        <f>'2019-3 СВОД'!F485</f>
        <v>384.79999999999995</v>
      </c>
      <c r="G29" s="34">
        <f>'2019-3 СВОД'!G485</f>
        <v>356</v>
      </c>
      <c r="H29" s="407"/>
      <c r="I29" s="408"/>
    </row>
    <row r="30" spans="1:9" ht="12.75" customHeight="1">
      <c r="A30" s="6"/>
      <c r="B30" s="29">
        <v>2250</v>
      </c>
      <c r="C30" s="30" t="s">
        <v>50</v>
      </c>
      <c r="D30" s="34">
        <f>'2019-3 СВОД'!D486</f>
        <v>10.7</v>
      </c>
      <c r="E30" s="34">
        <f>'2019-3 СВОД'!E486</f>
        <v>24.6</v>
      </c>
      <c r="F30" s="34">
        <f>'2019-3 СВОД'!F486</f>
        <v>48.199999999999996</v>
      </c>
      <c r="G30" s="34">
        <f>'2019-3 СВОД'!G486</f>
        <v>0</v>
      </c>
      <c r="H30" s="402"/>
      <c r="I30" s="402"/>
    </row>
    <row r="31" spans="1:9" ht="12.75" customHeight="1" hidden="1">
      <c r="A31" s="6"/>
      <c r="B31" s="29">
        <v>2260</v>
      </c>
      <c r="C31" s="30" t="s">
        <v>51</v>
      </c>
      <c r="D31" s="34">
        <f>'2019-3 СВОД'!D487</f>
        <v>0</v>
      </c>
      <c r="E31" s="34">
        <f>'2019-3 СВОД'!E487</f>
        <v>0</v>
      </c>
      <c r="F31" s="34">
        <f>'2019-3 СВОД'!F487</f>
        <v>0</v>
      </c>
      <c r="G31" s="34">
        <f>'2019-3 СВОД'!G487</f>
        <v>0</v>
      </c>
      <c r="H31" s="402"/>
      <c r="I31" s="402"/>
    </row>
    <row r="32" spans="1:9" ht="12.75" customHeight="1">
      <c r="A32" s="6"/>
      <c r="B32" s="27">
        <v>2270</v>
      </c>
      <c r="C32" s="28" t="s">
        <v>52</v>
      </c>
      <c r="D32" s="33">
        <f>D33+D34+D35+D36+D37+D38</f>
        <v>815.12</v>
      </c>
      <c r="E32" s="33">
        <f>E33+E34+E35+E36+E37+E38</f>
        <v>1014.9</v>
      </c>
      <c r="F32" s="33">
        <f>F33+F34+F35+F36+F37+F38</f>
        <v>1117.1</v>
      </c>
      <c r="G32" s="33">
        <f>G33+G34+G35+G36+G37+G38</f>
        <v>255.89999999999998</v>
      </c>
      <c r="H32" s="403" t="s">
        <v>594</v>
      </c>
      <c r="I32" s="404"/>
    </row>
    <row r="33" spans="1:9" ht="12.75" customHeight="1">
      <c r="A33" s="6"/>
      <c r="B33" s="29">
        <v>2271</v>
      </c>
      <c r="C33" s="30" t="s">
        <v>53</v>
      </c>
      <c r="D33" s="34">
        <f>'2019-3 СВОД'!D489</f>
        <v>369.13</v>
      </c>
      <c r="E33" s="34">
        <f>'2019-3 СВОД'!E489</f>
        <v>492.8</v>
      </c>
      <c r="F33" s="34">
        <f>'2019-3 СВОД'!F489</f>
        <v>535.8</v>
      </c>
      <c r="G33" s="34">
        <f>'2019-3 СВОД'!G489</f>
        <v>0</v>
      </c>
      <c r="H33" s="405"/>
      <c r="I33" s="406"/>
    </row>
    <row r="34" spans="1:9" ht="12.75" customHeight="1">
      <c r="A34" s="6"/>
      <c r="B34" s="29">
        <v>2272</v>
      </c>
      <c r="C34" s="30" t="s">
        <v>54</v>
      </c>
      <c r="D34" s="34">
        <f>'2019-3 СВОД'!D490</f>
        <v>36.8</v>
      </c>
      <c r="E34" s="34">
        <f>'2019-3 СВОД'!E490</f>
        <v>70.7</v>
      </c>
      <c r="F34" s="34">
        <f>'2019-3 СВОД'!F490</f>
        <v>120.19999999999999</v>
      </c>
      <c r="G34" s="34">
        <f>'2019-3 СВОД'!G490</f>
        <v>70.6</v>
      </c>
      <c r="H34" s="405"/>
      <c r="I34" s="406"/>
    </row>
    <row r="35" spans="1:9" ht="12.75" customHeight="1">
      <c r="A35" s="6"/>
      <c r="B35" s="29">
        <v>2273</v>
      </c>
      <c r="C35" s="30" t="s">
        <v>55</v>
      </c>
      <c r="D35" s="34">
        <f>'2019-3 СВОД'!D491</f>
        <v>369.28</v>
      </c>
      <c r="E35" s="34">
        <f>'2019-3 СВОД'!E491</f>
        <v>407.8</v>
      </c>
      <c r="F35" s="34">
        <f>'2019-3 СВОД'!F491</f>
        <v>412.5</v>
      </c>
      <c r="G35" s="34">
        <f>'2019-3 СВОД'!G491</f>
        <v>113.3</v>
      </c>
      <c r="H35" s="405"/>
      <c r="I35" s="406"/>
    </row>
    <row r="36" spans="1:9" ht="12.75" customHeight="1" hidden="1">
      <c r="A36" s="6"/>
      <c r="B36" s="29">
        <v>2274</v>
      </c>
      <c r="C36" s="30" t="s">
        <v>56</v>
      </c>
      <c r="D36" s="34">
        <f>'2019-3 СВОД'!D492</f>
        <v>0</v>
      </c>
      <c r="E36" s="34">
        <f>'2019-3 СВОД'!E492</f>
        <v>0</v>
      </c>
      <c r="F36" s="34">
        <f>'2019-3 СВОД'!F492</f>
        <v>0</v>
      </c>
      <c r="G36" s="34">
        <f>'2019-3 СВОД'!G492</f>
        <v>0</v>
      </c>
      <c r="H36" s="405"/>
      <c r="I36" s="406"/>
    </row>
    <row r="37" spans="1:9" ht="12.75" customHeight="1">
      <c r="A37" s="6"/>
      <c r="B37" s="29">
        <v>2275</v>
      </c>
      <c r="C37" s="30" t="s">
        <v>57</v>
      </c>
      <c r="D37" s="34">
        <f>'2019-3 СВОД'!D493</f>
        <v>39.91</v>
      </c>
      <c r="E37" s="34">
        <f>'2019-3 СВОД'!E493</f>
        <v>43.6</v>
      </c>
      <c r="F37" s="34">
        <f>'2019-3 СВОД'!F493</f>
        <v>48.6</v>
      </c>
      <c r="G37" s="34">
        <f>'2019-3 СВОД'!G493</f>
        <v>72</v>
      </c>
      <c r="H37" s="407"/>
      <c r="I37" s="408"/>
    </row>
    <row r="38" spans="1:9" ht="12.75" customHeight="1" hidden="1">
      <c r="A38" s="6"/>
      <c r="B38" s="31">
        <v>2276</v>
      </c>
      <c r="C38" s="32" t="s">
        <v>58</v>
      </c>
      <c r="D38" s="34">
        <f>'2019-3 СВОД'!D494</f>
        <v>0</v>
      </c>
      <c r="E38" s="34">
        <f>'2019-3 СВОД'!E494</f>
        <v>0</v>
      </c>
      <c r="F38" s="34">
        <f>'2019-3 СВОД'!F494</f>
        <v>0</v>
      </c>
      <c r="G38" s="34">
        <f>'2019-3 СВОД'!G494</f>
        <v>0</v>
      </c>
      <c r="H38" s="402"/>
      <c r="I38" s="402"/>
    </row>
    <row r="39" spans="1:9" ht="12.75">
      <c r="A39" s="6"/>
      <c r="B39" s="27">
        <v>2280</v>
      </c>
      <c r="C39" s="28" t="s">
        <v>59</v>
      </c>
      <c r="D39" s="33">
        <f>D40+D41</f>
        <v>0</v>
      </c>
      <c r="E39" s="33">
        <f>E40+E41</f>
        <v>21.2</v>
      </c>
      <c r="F39" s="33">
        <f>F40+F41</f>
        <v>31.2</v>
      </c>
      <c r="G39" s="33">
        <f>G40+G41</f>
        <v>0</v>
      </c>
      <c r="H39" s="402"/>
      <c r="I39" s="402"/>
    </row>
    <row r="40" spans="1:9" ht="12.75" hidden="1">
      <c r="A40" s="6"/>
      <c r="B40" s="29">
        <v>2281</v>
      </c>
      <c r="C40" s="30" t="s">
        <v>60</v>
      </c>
      <c r="D40" s="34">
        <f>'2019-3 СВОД'!D496</f>
        <v>0</v>
      </c>
      <c r="E40" s="34">
        <f>'2019-3 СВОД'!E496</f>
        <v>0</v>
      </c>
      <c r="F40" s="34">
        <f>'2019-3 СВОД'!F496</f>
        <v>0</v>
      </c>
      <c r="G40" s="34">
        <f>'2019-3 СВОД'!G496</f>
        <v>0</v>
      </c>
      <c r="H40" s="402"/>
      <c r="I40" s="402"/>
    </row>
    <row r="41" spans="1:9" ht="12.75">
      <c r="A41" s="6"/>
      <c r="B41" s="29">
        <v>2282</v>
      </c>
      <c r="C41" s="30" t="s">
        <v>61</v>
      </c>
      <c r="D41" s="34">
        <f>'2019-3 СВОД'!D497</f>
        <v>0</v>
      </c>
      <c r="E41" s="34">
        <f>'2019-3 СВОД'!E497</f>
        <v>21.2</v>
      </c>
      <c r="F41" s="34">
        <f>'2019-3 СВОД'!F497</f>
        <v>31.2</v>
      </c>
      <c r="G41" s="34">
        <f>'2019-3 СВОД'!G497</f>
        <v>0</v>
      </c>
      <c r="H41" s="402"/>
      <c r="I41" s="402"/>
    </row>
    <row r="42" spans="1:9" ht="12.75" customHeight="1" hidden="1">
      <c r="A42" s="6"/>
      <c r="B42" s="27">
        <v>2400</v>
      </c>
      <c r="C42" s="28" t="s">
        <v>62</v>
      </c>
      <c r="D42" s="34">
        <f>D43+D44</f>
        <v>0</v>
      </c>
      <c r="E42" s="34">
        <f>E43+E44</f>
        <v>0</v>
      </c>
      <c r="F42" s="34">
        <f>F43+F44</f>
        <v>0</v>
      </c>
      <c r="G42" s="34">
        <f>G43+G44</f>
        <v>0</v>
      </c>
      <c r="H42" s="402"/>
      <c r="I42" s="402"/>
    </row>
    <row r="43" spans="1:9" ht="12.75" customHeight="1" hidden="1">
      <c r="A43" s="6"/>
      <c r="B43" s="29">
        <v>2410</v>
      </c>
      <c r="C43" s="30" t="s">
        <v>63</v>
      </c>
      <c r="D43" s="34">
        <f>'2019-3 СВОД'!D499</f>
        <v>0</v>
      </c>
      <c r="E43" s="34">
        <f>'2019-3 СВОД'!E499</f>
        <v>0</v>
      </c>
      <c r="F43" s="34">
        <f>'2019-3 СВОД'!F499</f>
        <v>0</v>
      </c>
      <c r="G43" s="34">
        <f>'2019-3 СВОД'!G499</f>
        <v>0</v>
      </c>
      <c r="H43" s="402"/>
      <c r="I43" s="402"/>
    </row>
    <row r="44" spans="1:9" ht="12.75" customHeight="1" hidden="1">
      <c r="A44" s="6"/>
      <c r="B44" s="29">
        <v>2420</v>
      </c>
      <c r="C44" s="30" t="s">
        <v>64</v>
      </c>
      <c r="D44" s="34">
        <f>'2019-3 СВОД'!D500</f>
        <v>0</v>
      </c>
      <c r="E44" s="34">
        <f>'2019-3 СВОД'!E500</f>
        <v>0</v>
      </c>
      <c r="F44" s="34">
        <f>'2019-3 СВОД'!F500</f>
        <v>0</v>
      </c>
      <c r="G44" s="34">
        <f>'2019-3 СВОД'!G500</f>
        <v>0</v>
      </c>
      <c r="H44" s="402"/>
      <c r="I44" s="402"/>
    </row>
    <row r="45" spans="1:9" ht="12.75" customHeight="1" hidden="1">
      <c r="A45" s="6"/>
      <c r="B45" s="27">
        <v>2600</v>
      </c>
      <c r="C45" s="28" t="s">
        <v>65</v>
      </c>
      <c r="D45" s="33">
        <f>D46+D47+D48</f>
        <v>0</v>
      </c>
      <c r="E45" s="33">
        <f>E46+E47+E48</f>
        <v>0</v>
      </c>
      <c r="F45" s="33">
        <f>F46+F47+F48</f>
        <v>0</v>
      </c>
      <c r="G45" s="33">
        <f>G46+G47+G48</f>
        <v>0</v>
      </c>
      <c r="H45" s="402"/>
      <c r="I45" s="402"/>
    </row>
    <row r="46" spans="1:9" ht="12.75" hidden="1">
      <c r="A46" s="6"/>
      <c r="B46" s="29">
        <v>2610</v>
      </c>
      <c r="C46" s="30" t="s">
        <v>66</v>
      </c>
      <c r="D46" s="34">
        <f>'2019-3 СВОД'!D502</f>
        <v>0</v>
      </c>
      <c r="E46" s="34">
        <f>'2019-3 СВОД'!E502</f>
        <v>0</v>
      </c>
      <c r="F46" s="34">
        <f>'2019-3 СВОД'!F502</f>
        <v>0</v>
      </c>
      <c r="G46" s="34">
        <f>'2019-3 СВОД'!G502</f>
        <v>0</v>
      </c>
      <c r="H46" s="402"/>
      <c r="I46" s="402"/>
    </row>
    <row r="47" spans="1:9" ht="12.75" customHeight="1" hidden="1">
      <c r="A47" s="6"/>
      <c r="B47" s="29">
        <v>2620</v>
      </c>
      <c r="C47" s="30" t="s">
        <v>67</v>
      </c>
      <c r="D47" s="34">
        <f>'2019-3 СВОД'!D503</f>
        <v>0</v>
      </c>
      <c r="E47" s="34">
        <f>'2019-3 СВОД'!E503</f>
        <v>0</v>
      </c>
      <c r="F47" s="34">
        <f>'2019-3 СВОД'!F503</f>
        <v>0</v>
      </c>
      <c r="G47" s="34">
        <f>'2019-3 СВОД'!G503</f>
        <v>0</v>
      </c>
      <c r="H47" s="402"/>
      <c r="I47" s="402"/>
    </row>
    <row r="48" spans="1:9" ht="12.75" hidden="1">
      <c r="A48" s="6"/>
      <c r="B48" s="29">
        <v>2630</v>
      </c>
      <c r="C48" s="30" t="s">
        <v>68</v>
      </c>
      <c r="D48" s="34">
        <f>'2019-3 СВОД'!D504</f>
        <v>0</v>
      </c>
      <c r="E48" s="34">
        <f>'2019-3 СВОД'!E504</f>
        <v>0</v>
      </c>
      <c r="F48" s="34">
        <f>'2019-3 СВОД'!F504</f>
        <v>0</v>
      </c>
      <c r="G48" s="34">
        <f>'2019-3 СВОД'!G504</f>
        <v>0</v>
      </c>
      <c r="H48" s="402"/>
      <c r="I48" s="402"/>
    </row>
    <row r="49" spans="1:9" ht="12.75" customHeight="1" hidden="1">
      <c r="A49" s="6"/>
      <c r="B49" s="27">
        <v>2700</v>
      </c>
      <c r="C49" s="28" t="s">
        <v>69</v>
      </c>
      <c r="D49" s="33">
        <f>D50+D51+D52</f>
        <v>0</v>
      </c>
      <c r="E49" s="33">
        <f>E50+E51+E52</f>
        <v>0</v>
      </c>
      <c r="F49" s="33">
        <f>F50+F51+F52</f>
        <v>0</v>
      </c>
      <c r="G49" s="33">
        <f>G50+G51+G52</f>
        <v>0</v>
      </c>
      <c r="H49" s="402"/>
      <c r="I49" s="402"/>
    </row>
    <row r="50" spans="1:9" ht="12.75" customHeight="1" hidden="1">
      <c r="A50" s="6"/>
      <c r="B50" s="29">
        <v>2710</v>
      </c>
      <c r="C50" s="30" t="s">
        <v>70</v>
      </c>
      <c r="D50" s="34">
        <f>'2019-3 СВОД'!D506</f>
        <v>0</v>
      </c>
      <c r="E50" s="34">
        <f>'2019-3 СВОД'!E506</f>
        <v>0</v>
      </c>
      <c r="F50" s="34">
        <f>'2019-3 СВОД'!F506</f>
        <v>0</v>
      </c>
      <c r="G50" s="34">
        <f>'2019-3 СВОД'!G506</f>
        <v>0</v>
      </c>
      <c r="H50" s="402"/>
      <c r="I50" s="402"/>
    </row>
    <row r="51" spans="1:9" ht="12.75" customHeight="1" hidden="1">
      <c r="A51" s="6"/>
      <c r="B51" s="29">
        <v>2720</v>
      </c>
      <c r="C51" s="30" t="s">
        <v>71</v>
      </c>
      <c r="D51" s="34">
        <f>'2019-3 СВОД'!D507</f>
        <v>0</v>
      </c>
      <c r="E51" s="34">
        <f>'2019-3 СВОД'!E507</f>
        <v>0</v>
      </c>
      <c r="F51" s="34">
        <f>'2019-3 СВОД'!F507</f>
        <v>0</v>
      </c>
      <c r="G51" s="34">
        <f>'2019-3 СВОД'!G507</f>
        <v>0</v>
      </c>
      <c r="H51" s="402"/>
      <c r="I51" s="402"/>
    </row>
    <row r="52" spans="1:9" ht="12.75" customHeight="1" hidden="1">
      <c r="A52" s="6"/>
      <c r="B52" s="29">
        <v>2730</v>
      </c>
      <c r="C52" s="30" t="s">
        <v>72</v>
      </c>
      <c r="D52" s="34">
        <f>'2019-3 СВОД'!D508</f>
        <v>0</v>
      </c>
      <c r="E52" s="34">
        <f>'2019-3 СВОД'!E508</f>
        <v>0</v>
      </c>
      <c r="F52" s="34">
        <f>'2019-3 СВОД'!F508</f>
        <v>0</v>
      </c>
      <c r="G52" s="34">
        <f>'2019-3 СВОД'!G508</f>
        <v>0</v>
      </c>
      <c r="H52" s="402"/>
      <c r="I52" s="402"/>
    </row>
    <row r="53" spans="1:9" ht="12.75" customHeight="1">
      <c r="A53" s="6"/>
      <c r="B53" s="27">
        <v>2800</v>
      </c>
      <c r="C53" s="28" t="s">
        <v>73</v>
      </c>
      <c r="D53" s="34">
        <f>'2019-3 СВОД'!D509</f>
        <v>0.96</v>
      </c>
      <c r="E53" s="34">
        <f>'2019-3 СВОД'!E509</f>
        <v>5.1</v>
      </c>
      <c r="F53" s="34">
        <f>'2019-3 СВОД'!F509</f>
        <v>5.2</v>
      </c>
      <c r="G53" s="34">
        <f>'2019-3 СВОД'!G509</f>
        <v>0</v>
      </c>
      <c r="H53" s="402"/>
      <c r="I53" s="402"/>
    </row>
    <row r="54" spans="1:9" ht="12.75">
      <c r="A54" s="21"/>
      <c r="B54" s="27">
        <v>3000</v>
      </c>
      <c r="C54" s="28" t="s">
        <v>40</v>
      </c>
      <c r="D54" s="40">
        <f>D55+D69</f>
        <v>49.85</v>
      </c>
      <c r="E54" s="40">
        <f>E55+E69</f>
        <v>212.5</v>
      </c>
      <c r="F54" s="40">
        <f>F55+F69</f>
        <v>0</v>
      </c>
      <c r="G54" s="40">
        <f>G55+G69</f>
        <v>70</v>
      </c>
      <c r="H54" s="403" t="s">
        <v>607</v>
      </c>
      <c r="I54" s="404"/>
    </row>
    <row r="55" spans="1:9" ht="12.75">
      <c r="A55" s="21"/>
      <c r="B55" s="27">
        <v>3100</v>
      </c>
      <c r="C55" s="28" t="s">
        <v>41</v>
      </c>
      <c r="D55" s="40">
        <f>D56+D57+D60+D63+D67+D68+D69</f>
        <v>49.85</v>
      </c>
      <c r="E55" s="40">
        <f>E56+E57+E60+E63+E67+E68+E69</f>
        <v>212.5</v>
      </c>
      <c r="F55" s="40">
        <f>F56+F57+F60+F63+F67+F68+F69</f>
        <v>0</v>
      </c>
      <c r="G55" s="40">
        <f>G56+G57+G60+G63+G67+G68+G69</f>
        <v>70</v>
      </c>
      <c r="H55" s="405"/>
      <c r="I55" s="406"/>
    </row>
    <row r="56" spans="1:9" ht="12.75">
      <c r="A56" s="21"/>
      <c r="B56" s="29">
        <v>3110</v>
      </c>
      <c r="C56" s="30" t="s">
        <v>74</v>
      </c>
      <c r="D56" s="34">
        <f>'2019-3 СВОД'!D512</f>
        <v>0</v>
      </c>
      <c r="E56" s="34">
        <f>'2019-3 СВОД'!E512</f>
        <v>212.5</v>
      </c>
      <c r="F56" s="34">
        <f>'2019-3 СВОД'!F512</f>
        <v>0</v>
      </c>
      <c r="G56" s="34">
        <f>'2019-3 СВОД'!G512</f>
        <v>70</v>
      </c>
      <c r="H56" s="407"/>
      <c r="I56" s="408"/>
    </row>
    <row r="57" spans="1:9" ht="12.75" hidden="1">
      <c r="A57" s="21"/>
      <c r="B57" s="29">
        <v>3120</v>
      </c>
      <c r="C57" s="30" t="s">
        <v>75</v>
      </c>
      <c r="D57" s="40">
        <f>D58+D59</f>
        <v>0</v>
      </c>
      <c r="E57" s="40">
        <f>E58+E59</f>
        <v>0</v>
      </c>
      <c r="F57" s="40">
        <f>F58+F59</f>
        <v>0</v>
      </c>
      <c r="G57" s="40">
        <f>G58+G59</f>
        <v>0</v>
      </c>
      <c r="H57" s="402"/>
      <c r="I57" s="402"/>
    </row>
    <row r="58" spans="1:9" ht="12.75" hidden="1">
      <c r="A58" s="21"/>
      <c r="B58" s="29">
        <v>3121</v>
      </c>
      <c r="C58" s="30" t="s">
        <v>76</v>
      </c>
      <c r="D58" s="34">
        <f>'2019-3 СВОД'!D514</f>
        <v>0</v>
      </c>
      <c r="E58" s="34">
        <f>'2019-3 СВОД'!E514</f>
        <v>0</v>
      </c>
      <c r="F58" s="34">
        <f>'2019-3 СВОД'!F514</f>
        <v>0</v>
      </c>
      <c r="G58" s="34">
        <f>'2019-3 СВОД'!G514</f>
        <v>0</v>
      </c>
      <c r="H58" s="402"/>
      <c r="I58" s="402"/>
    </row>
    <row r="59" spans="1:9" ht="12.75" hidden="1">
      <c r="A59" s="21"/>
      <c r="B59" s="29">
        <v>3122</v>
      </c>
      <c r="C59" s="30" t="s">
        <v>77</v>
      </c>
      <c r="D59" s="34">
        <f>'2019-3 СВОД'!D515</f>
        <v>0</v>
      </c>
      <c r="E59" s="34">
        <f>'2019-3 СВОД'!E515</f>
        <v>0</v>
      </c>
      <c r="F59" s="34">
        <f>'2019-3 СВОД'!F515</f>
        <v>0</v>
      </c>
      <c r="G59" s="34">
        <f>'2019-3 СВОД'!G515</f>
        <v>0</v>
      </c>
      <c r="H59" s="402"/>
      <c r="I59" s="402"/>
    </row>
    <row r="60" spans="1:9" ht="12.75" hidden="1">
      <c r="A60" s="21"/>
      <c r="B60" s="29">
        <v>3130</v>
      </c>
      <c r="C60" s="30" t="s">
        <v>78</v>
      </c>
      <c r="D60" s="40">
        <f>D61+D62</f>
        <v>0</v>
      </c>
      <c r="E60" s="40">
        <f>E61+E62</f>
        <v>0</v>
      </c>
      <c r="F60" s="40">
        <f>F61+F62</f>
        <v>0</v>
      </c>
      <c r="G60" s="40">
        <f>G61+G62</f>
        <v>0</v>
      </c>
      <c r="H60" s="402"/>
      <c r="I60" s="402"/>
    </row>
    <row r="61" spans="1:9" ht="12.75" hidden="1">
      <c r="A61" s="21"/>
      <c r="B61" s="29">
        <v>3131</v>
      </c>
      <c r="C61" s="30" t="s">
        <v>79</v>
      </c>
      <c r="D61" s="34">
        <f>'2019-3 СВОД'!D517</f>
        <v>0</v>
      </c>
      <c r="E61" s="34">
        <f>'2019-3 СВОД'!E517</f>
        <v>0</v>
      </c>
      <c r="F61" s="34">
        <f>'2019-3 СВОД'!F517</f>
        <v>0</v>
      </c>
      <c r="G61" s="34">
        <f>'2019-3 СВОД'!G517</f>
        <v>0</v>
      </c>
      <c r="H61" s="402"/>
      <c r="I61" s="402"/>
    </row>
    <row r="62" spans="1:9" ht="12.75" hidden="1">
      <c r="A62" s="21"/>
      <c r="B62" s="29">
        <v>3132</v>
      </c>
      <c r="C62" s="30" t="s">
        <v>80</v>
      </c>
      <c r="D62" s="34">
        <f>'2019-3 СВОД'!D518</f>
        <v>0</v>
      </c>
      <c r="E62" s="34">
        <f>'2019-3 СВОД'!E518</f>
        <v>0</v>
      </c>
      <c r="F62" s="34">
        <f>'2019-3 СВОД'!F518</f>
        <v>0</v>
      </c>
      <c r="G62" s="34">
        <f>'2019-3 СВОД'!G518</f>
        <v>0</v>
      </c>
      <c r="H62" s="402"/>
      <c r="I62" s="402"/>
    </row>
    <row r="63" spans="1:9" ht="12.75">
      <c r="A63" s="21"/>
      <c r="B63" s="29">
        <v>3140</v>
      </c>
      <c r="C63" s="30" t="s">
        <v>81</v>
      </c>
      <c r="D63" s="40">
        <f>D64+D65+D66</f>
        <v>49.85</v>
      </c>
      <c r="E63" s="40">
        <f>E64+E65+E66</f>
        <v>0</v>
      </c>
      <c r="F63" s="40">
        <f>F64+F65+F66</f>
        <v>0</v>
      </c>
      <c r="G63" s="40">
        <f>G64+G65+G66</f>
        <v>0</v>
      </c>
      <c r="H63" s="402"/>
      <c r="I63" s="402"/>
    </row>
    <row r="64" spans="1:9" ht="12.75" hidden="1">
      <c r="A64" s="21"/>
      <c r="B64" s="29">
        <v>3141</v>
      </c>
      <c r="C64" s="30" t="s">
        <v>82</v>
      </c>
      <c r="D64" s="34">
        <f>'2019-3 СВОД'!D520</f>
        <v>0</v>
      </c>
      <c r="E64" s="34">
        <f>'2019-3 СВОД'!E520</f>
        <v>0</v>
      </c>
      <c r="F64" s="34">
        <f>'2019-3 СВОД'!F520</f>
        <v>0</v>
      </c>
      <c r="G64" s="34">
        <f>'2019-3 СВОД'!G520</f>
        <v>0</v>
      </c>
      <c r="H64" s="402"/>
      <c r="I64" s="402"/>
    </row>
    <row r="65" spans="1:9" ht="12.75">
      <c r="A65" s="21"/>
      <c r="B65" s="29">
        <v>3142</v>
      </c>
      <c r="C65" s="30" t="s">
        <v>83</v>
      </c>
      <c r="D65" s="34">
        <f>'2019-3 СВОД'!D521</f>
        <v>49.85</v>
      </c>
      <c r="E65" s="34">
        <f>'2019-3 СВОД'!E521</f>
        <v>0</v>
      </c>
      <c r="F65" s="34">
        <f>'2019-3 СВОД'!F521</f>
        <v>0</v>
      </c>
      <c r="G65" s="34">
        <f>'2019-3 СВОД'!G521</f>
        <v>0</v>
      </c>
      <c r="H65" s="402"/>
      <c r="I65" s="402"/>
    </row>
    <row r="66" spans="1:9" ht="12.75" hidden="1">
      <c r="A66" s="21"/>
      <c r="B66" s="29">
        <v>3143</v>
      </c>
      <c r="C66" s="30" t="s">
        <v>84</v>
      </c>
      <c r="D66" s="34">
        <f>'2019-3 СВОД'!D522</f>
        <v>0</v>
      </c>
      <c r="E66" s="34">
        <f>'2019-3 СВОД'!E522</f>
        <v>0</v>
      </c>
      <c r="F66" s="34">
        <f>'2019-3 СВОД'!F522</f>
        <v>0</v>
      </c>
      <c r="G66" s="34">
        <f>'2019-3 СВОД'!G522</f>
        <v>0</v>
      </c>
      <c r="H66" s="402"/>
      <c r="I66" s="402"/>
    </row>
    <row r="67" spans="1:9" ht="12.75" hidden="1">
      <c r="A67" s="21"/>
      <c r="B67" s="29">
        <v>3150</v>
      </c>
      <c r="C67" s="30" t="s">
        <v>85</v>
      </c>
      <c r="D67" s="34">
        <f>'2019-3 СВОД'!D523</f>
        <v>0</v>
      </c>
      <c r="E67" s="34">
        <f>'2019-3 СВОД'!E523</f>
        <v>0</v>
      </c>
      <c r="F67" s="34">
        <f>'2019-3 СВОД'!F523</f>
        <v>0</v>
      </c>
      <c r="G67" s="34">
        <f>'2019-3 СВОД'!G523</f>
        <v>0</v>
      </c>
      <c r="H67" s="402"/>
      <c r="I67" s="402"/>
    </row>
    <row r="68" spans="1:9" ht="12.75" hidden="1">
      <c r="A68" s="21"/>
      <c r="B68" s="29">
        <v>3160</v>
      </c>
      <c r="C68" s="30" t="s">
        <v>86</v>
      </c>
      <c r="D68" s="34">
        <f>'2019-3 СВОД'!D524</f>
        <v>0</v>
      </c>
      <c r="E68" s="34">
        <f>'2019-3 СВОД'!E524</f>
        <v>0</v>
      </c>
      <c r="F68" s="34">
        <f>'2019-3 СВОД'!F524</f>
        <v>0</v>
      </c>
      <c r="G68" s="34">
        <f>'2019-3 СВОД'!G524</f>
        <v>0</v>
      </c>
      <c r="H68" s="402"/>
      <c r="I68" s="402"/>
    </row>
    <row r="69" spans="1:9" ht="12.75" hidden="1">
      <c r="A69" s="21"/>
      <c r="B69" s="27">
        <v>3200</v>
      </c>
      <c r="C69" s="28" t="s">
        <v>87</v>
      </c>
      <c r="D69" s="40">
        <f>D70+D71+D72+D73</f>
        <v>0</v>
      </c>
      <c r="E69" s="40">
        <f>E70+E71+E72+E73</f>
        <v>0</v>
      </c>
      <c r="F69" s="40">
        <f>F70+F71+F72+F73</f>
        <v>0</v>
      </c>
      <c r="G69" s="40">
        <f>G70+G71+G72+G73</f>
        <v>0</v>
      </c>
      <c r="H69" s="402"/>
      <c r="I69" s="402"/>
    </row>
    <row r="70" spans="1:9" ht="12.75" hidden="1">
      <c r="A70" s="21"/>
      <c r="B70" s="29">
        <v>3210</v>
      </c>
      <c r="C70" s="30" t="s">
        <v>88</v>
      </c>
      <c r="D70" s="34">
        <f>'2019-3 СВОД'!D526</f>
        <v>0</v>
      </c>
      <c r="E70" s="34">
        <f>'2019-3 СВОД'!E526</f>
        <v>0</v>
      </c>
      <c r="F70" s="34">
        <f>'2019-3 СВОД'!F526</f>
        <v>0</v>
      </c>
      <c r="G70" s="34">
        <f>'2019-3 СВОД'!G526</f>
        <v>0</v>
      </c>
      <c r="H70" s="402"/>
      <c r="I70" s="402"/>
    </row>
    <row r="71" spans="1:9" ht="12.75" hidden="1">
      <c r="A71" s="21"/>
      <c r="B71" s="29">
        <v>3220</v>
      </c>
      <c r="C71" s="30" t="s">
        <v>89</v>
      </c>
      <c r="D71" s="34">
        <f>'2019-3 СВОД'!D527</f>
        <v>0</v>
      </c>
      <c r="E71" s="34">
        <f>'2019-3 СВОД'!E527</f>
        <v>0</v>
      </c>
      <c r="F71" s="34">
        <f>'2019-3 СВОД'!F527</f>
        <v>0</v>
      </c>
      <c r="G71" s="34">
        <f>'2019-3 СВОД'!G527</f>
        <v>0</v>
      </c>
      <c r="H71" s="402"/>
      <c r="I71" s="402"/>
    </row>
    <row r="72" spans="1:9" ht="12.75" hidden="1">
      <c r="A72" s="21"/>
      <c r="B72" s="29">
        <v>3230</v>
      </c>
      <c r="C72" s="30" t="s">
        <v>90</v>
      </c>
      <c r="D72" s="34">
        <f>'2019-3 СВОД'!D528</f>
        <v>0</v>
      </c>
      <c r="E72" s="34">
        <f>'2019-3 СВОД'!E528</f>
        <v>0</v>
      </c>
      <c r="F72" s="34">
        <f>'2019-3 СВОД'!F528</f>
        <v>0</v>
      </c>
      <c r="G72" s="34">
        <f>'2019-3 СВОД'!G528</f>
        <v>0</v>
      </c>
      <c r="H72" s="402"/>
      <c r="I72" s="402"/>
    </row>
    <row r="73" spans="1:9" ht="13.5" customHeight="1" hidden="1">
      <c r="A73" s="21"/>
      <c r="B73" s="29">
        <v>3240</v>
      </c>
      <c r="C73" s="30" t="s">
        <v>91</v>
      </c>
      <c r="D73" s="34">
        <f>'2019-3 СВОД'!D529</f>
        <v>0</v>
      </c>
      <c r="E73" s="34">
        <f>'2019-3 СВОД'!E529</f>
        <v>0</v>
      </c>
      <c r="F73" s="34">
        <f>'2019-3 СВОД'!F529</f>
        <v>0</v>
      </c>
      <c r="G73" s="34">
        <f>'2019-3 СВОД'!G529</f>
        <v>0</v>
      </c>
      <c r="H73" s="402"/>
      <c r="I73" s="402"/>
    </row>
    <row r="74" spans="1:9" s="19" customFormat="1" ht="13.5" customHeight="1">
      <c r="A74" s="7"/>
      <c r="B74" s="7"/>
      <c r="C74" s="20" t="s">
        <v>3</v>
      </c>
      <c r="D74" s="34">
        <f>D19+D54</f>
        <v>6290.91</v>
      </c>
      <c r="E74" s="34">
        <f>E19+E54</f>
        <v>8103</v>
      </c>
      <c r="F74" s="34">
        <f>F19+F54</f>
        <v>8465.9</v>
      </c>
      <c r="G74" s="34">
        <f>G19+G54</f>
        <v>2010</v>
      </c>
      <c r="H74" s="402"/>
      <c r="I74" s="402"/>
    </row>
    <row r="75" spans="1:9" s="156" customFormat="1" ht="13.5" customHeight="1">
      <c r="A75" s="154"/>
      <c r="B75" s="154">
        <f>'2019-3 СВОД'!B531</f>
        <v>1113242</v>
      </c>
      <c r="C75" s="154" t="str">
        <f>'2019-3 СВОД'!C531</f>
        <v>Підпрограма Інші заходи у сфері соціального захисту і соціального забезпечення</v>
      </c>
      <c r="D75" s="170">
        <f>D76+D111</f>
        <v>290.1</v>
      </c>
      <c r="E75" s="170">
        <f>E76+E111</f>
        <v>593.8</v>
      </c>
      <c r="F75" s="170">
        <f>F76+F111</f>
        <v>699.6</v>
      </c>
      <c r="G75" s="170">
        <f>G76+G111</f>
        <v>0</v>
      </c>
      <c r="H75" s="464"/>
      <c r="I75" s="465"/>
    </row>
    <row r="76" spans="1:9" ht="12.75">
      <c r="A76" s="6"/>
      <c r="B76" s="27">
        <v>2000</v>
      </c>
      <c r="C76" s="28" t="s">
        <v>37</v>
      </c>
      <c r="D76" s="33">
        <f>D77+D82+D99+D102+D106+D110</f>
        <v>290.1</v>
      </c>
      <c r="E76" s="33">
        <f>E77+E82+E99+E102+E106+E110</f>
        <v>593.8</v>
      </c>
      <c r="F76" s="33">
        <f>F77+F82+F99+F102+F106+F110</f>
        <v>699.6</v>
      </c>
      <c r="G76" s="33">
        <f>G77+G82+G99+G102+G106+G110</f>
        <v>0</v>
      </c>
      <c r="H76" s="402"/>
      <c r="I76" s="402"/>
    </row>
    <row r="77" spans="1:9" ht="12.75" customHeight="1" hidden="1">
      <c r="A77" s="6"/>
      <c r="B77" s="29">
        <v>2100</v>
      </c>
      <c r="C77" s="30" t="s">
        <v>38</v>
      </c>
      <c r="D77" s="35">
        <f>D78+D81</f>
        <v>0</v>
      </c>
      <c r="E77" s="35">
        <f>E78+E81</f>
        <v>0</v>
      </c>
      <c r="F77" s="35">
        <f>F78+F81</f>
        <v>0</v>
      </c>
      <c r="G77" s="35">
        <f>G78+G81</f>
        <v>0</v>
      </c>
      <c r="H77" s="402"/>
      <c r="I77" s="402"/>
    </row>
    <row r="78" spans="1:9" ht="12.75" customHeight="1" hidden="1">
      <c r="A78" s="6"/>
      <c r="B78" s="29">
        <v>2110</v>
      </c>
      <c r="C78" s="30" t="s">
        <v>39</v>
      </c>
      <c r="D78" s="35">
        <f>D79+D80</f>
        <v>0</v>
      </c>
      <c r="E78" s="35">
        <f>E79+E80</f>
        <v>0</v>
      </c>
      <c r="F78" s="35">
        <f>F79+F80</f>
        <v>0</v>
      </c>
      <c r="G78" s="35">
        <f>G79+G80</f>
        <v>0</v>
      </c>
      <c r="H78" s="402"/>
      <c r="I78" s="402"/>
    </row>
    <row r="79" spans="1:9" ht="12.75" customHeight="1" hidden="1">
      <c r="A79" s="6"/>
      <c r="B79" s="29">
        <v>2111</v>
      </c>
      <c r="C79" s="30" t="s">
        <v>42</v>
      </c>
      <c r="D79" s="34">
        <f>'2019-3 СВОД'!D535</f>
        <v>0</v>
      </c>
      <c r="E79" s="34">
        <f>'2019-3 СВОД'!E535</f>
        <v>0</v>
      </c>
      <c r="F79" s="34">
        <f>'2019-3 СВОД'!F535</f>
        <v>0</v>
      </c>
      <c r="G79" s="34">
        <f>'2019-3 СВОД'!G535</f>
        <v>0</v>
      </c>
      <c r="H79" s="402"/>
      <c r="I79" s="402"/>
    </row>
    <row r="80" spans="1:9" ht="12.75" customHeight="1" hidden="1">
      <c r="A80" s="6"/>
      <c r="B80" s="29">
        <v>2112</v>
      </c>
      <c r="C80" s="30" t="s">
        <v>43</v>
      </c>
      <c r="D80" s="34">
        <f>'2019-3 СВОД'!D536</f>
        <v>0</v>
      </c>
      <c r="E80" s="34">
        <f>'2019-3 СВОД'!E536</f>
        <v>0</v>
      </c>
      <c r="F80" s="34">
        <f>'2019-3 СВОД'!F536</f>
        <v>0</v>
      </c>
      <c r="G80" s="34">
        <f>'2019-3 СВОД'!G536</f>
        <v>0</v>
      </c>
      <c r="H80" s="402"/>
      <c r="I80" s="402"/>
    </row>
    <row r="81" spans="1:9" ht="12.75" customHeight="1" hidden="1">
      <c r="A81" s="6"/>
      <c r="B81" s="29">
        <v>2120</v>
      </c>
      <c r="C81" s="30" t="s">
        <v>44</v>
      </c>
      <c r="D81" s="34">
        <f>'2019-3 СВОД'!D537</f>
        <v>0</v>
      </c>
      <c r="E81" s="34">
        <f>'2019-3 СВОД'!E537</f>
        <v>0</v>
      </c>
      <c r="F81" s="34">
        <f>'2019-3 СВОД'!F537</f>
        <v>0</v>
      </c>
      <c r="G81" s="34">
        <f>'2019-3 СВОД'!G537</f>
        <v>0</v>
      </c>
      <c r="H81" s="402"/>
      <c r="I81" s="402"/>
    </row>
    <row r="82" spans="1:9" ht="12.75" customHeight="1" hidden="1">
      <c r="A82" s="6"/>
      <c r="B82" s="27">
        <v>2200</v>
      </c>
      <c r="C82" s="28" t="s">
        <v>45</v>
      </c>
      <c r="D82" s="33">
        <f>SUM(D83:D89)+D96</f>
        <v>0</v>
      </c>
      <c r="E82" s="33">
        <f>SUM(E83:E89)+E96</f>
        <v>0</v>
      </c>
      <c r="F82" s="33">
        <f>SUM(F83:F89)+F96</f>
        <v>0</v>
      </c>
      <c r="G82" s="33">
        <f>SUM(G83:G89)+G96</f>
        <v>0</v>
      </c>
      <c r="H82" s="402"/>
      <c r="I82" s="402"/>
    </row>
    <row r="83" spans="1:9" ht="12.75" hidden="1">
      <c r="A83" s="6"/>
      <c r="B83" s="29">
        <v>2210</v>
      </c>
      <c r="C83" s="30" t="s">
        <v>46</v>
      </c>
      <c r="D83" s="34">
        <f>'2019-3 СВОД'!D539</f>
        <v>0</v>
      </c>
      <c r="E83" s="34">
        <f>'2019-3 СВОД'!E539</f>
        <v>0</v>
      </c>
      <c r="F83" s="34">
        <f>'2019-3 СВОД'!F539</f>
        <v>0</v>
      </c>
      <c r="G83" s="34">
        <f>'2019-3 СВОД'!G539</f>
        <v>0</v>
      </c>
      <c r="H83" s="402"/>
      <c r="I83" s="402"/>
    </row>
    <row r="84" spans="1:9" ht="12.75" customHeight="1" hidden="1">
      <c r="A84" s="6"/>
      <c r="B84" s="29">
        <v>2220</v>
      </c>
      <c r="C84" s="30" t="s">
        <v>47</v>
      </c>
      <c r="D84" s="34">
        <f>'2019-3 СВОД'!D540</f>
        <v>0</v>
      </c>
      <c r="E84" s="34">
        <f>'2019-3 СВОД'!E540</f>
        <v>0</v>
      </c>
      <c r="F84" s="34">
        <f>'2019-3 СВОД'!F540</f>
        <v>0</v>
      </c>
      <c r="G84" s="34">
        <f>'2019-3 СВОД'!G540</f>
        <v>0</v>
      </c>
      <c r="H84" s="402"/>
      <c r="I84" s="402"/>
    </row>
    <row r="85" spans="1:9" ht="12.75" customHeight="1" hidden="1">
      <c r="A85" s="6"/>
      <c r="B85" s="29">
        <v>2230</v>
      </c>
      <c r="C85" s="30" t="s">
        <v>48</v>
      </c>
      <c r="D85" s="34">
        <f>'2019-3 СВОД'!D541</f>
        <v>0</v>
      </c>
      <c r="E85" s="34">
        <f>'2019-3 СВОД'!E541</f>
        <v>0</v>
      </c>
      <c r="F85" s="34">
        <f>'2019-3 СВОД'!F541</f>
        <v>0</v>
      </c>
      <c r="G85" s="34">
        <f>'2019-3 СВОД'!G541</f>
        <v>0</v>
      </c>
      <c r="H85" s="402"/>
      <c r="I85" s="402"/>
    </row>
    <row r="86" spans="1:9" ht="12.75" customHeight="1" hidden="1">
      <c r="A86" s="6"/>
      <c r="B86" s="29">
        <v>2240</v>
      </c>
      <c r="C86" s="30" t="s">
        <v>49</v>
      </c>
      <c r="D86" s="34">
        <f>'2019-3 СВОД'!D542</f>
        <v>0</v>
      </c>
      <c r="E86" s="34">
        <f>'2019-3 СВОД'!E542</f>
        <v>0</v>
      </c>
      <c r="F86" s="34">
        <f>'2019-3 СВОД'!F542</f>
        <v>0</v>
      </c>
      <c r="G86" s="34">
        <f>'2019-3 СВОД'!G542</f>
        <v>0</v>
      </c>
      <c r="H86" s="402"/>
      <c r="I86" s="402"/>
    </row>
    <row r="87" spans="1:9" ht="12.75" customHeight="1" hidden="1">
      <c r="A87" s="6"/>
      <c r="B87" s="29">
        <v>2250</v>
      </c>
      <c r="C87" s="30" t="s">
        <v>50</v>
      </c>
      <c r="D87" s="34">
        <f>'2019-3 СВОД'!D543</f>
        <v>0</v>
      </c>
      <c r="E87" s="34">
        <f>'2019-3 СВОД'!E543</f>
        <v>0</v>
      </c>
      <c r="F87" s="34">
        <f>'2019-3 СВОД'!F543</f>
        <v>0</v>
      </c>
      <c r="G87" s="34">
        <f>'2019-3 СВОД'!G543</f>
        <v>0</v>
      </c>
      <c r="H87" s="402"/>
      <c r="I87" s="402"/>
    </row>
    <row r="88" spans="1:9" ht="12.75" customHeight="1" hidden="1">
      <c r="A88" s="6"/>
      <c r="B88" s="29">
        <v>2260</v>
      </c>
      <c r="C88" s="30" t="s">
        <v>51</v>
      </c>
      <c r="D88" s="34">
        <f>'2019-3 СВОД'!D544</f>
        <v>0</v>
      </c>
      <c r="E88" s="34">
        <f>'2019-3 СВОД'!E544</f>
        <v>0</v>
      </c>
      <c r="F88" s="34">
        <f>'2019-3 СВОД'!F544</f>
        <v>0</v>
      </c>
      <c r="G88" s="34">
        <f>'2019-3 СВОД'!G544</f>
        <v>0</v>
      </c>
      <c r="H88" s="402"/>
      <c r="I88" s="402"/>
    </row>
    <row r="89" spans="1:9" ht="12.75" customHeight="1" hidden="1">
      <c r="A89" s="6"/>
      <c r="B89" s="27">
        <v>2270</v>
      </c>
      <c r="C89" s="28" t="s">
        <v>52</v>
      </c>
      <c r="D89" s="33">
        <f>D90+D91+D92+D93+D94+D95</f>
        <v>0</v>
      </c>
      <c r="E89" s="33">
        <f>E90+E91+E92+E93+E94+E95</f>
        <v>0</v>
      </c>
      <c r="F89" s="33">
        <f>F90+F91+F92+F93+F94+F95</f>
        <v>0</v>
      </c>
      <c r="G89" s="33">
        <f>G90+G91+G92+G93+G94+G95</f>
        <v>0</v>
      </c>
      <c r="H89" s="402"/>
      <c r="I89" s="402"/>
    </row>
    <row r="90" spans="1:9" ht="12.75" customHeight="1" hidden="1">
      <c r="A90" s="6"/>
      <c r="B90" s="29">
        <v>2271</v>
      </c>
      <c r="C90" s="30" t="s">
        <v>53</v>
      </c>
      <c r="D90" s="34">
        <f>'2019-3 СВОД'!D546</f>
        <v>0</v>
      </c>
      <c r="E90" s="34">
        <f>'2019-3 СВОД'!E546</f>
        <v>0</v>
      </c>
      <c r="F90" s="34">
        <f>'2019-3 СВОД'!F546</f>
        <v>0</v>
      </c>
      <c r="G90" s="34">
        <f>'2019-3 СВОД'!G546</f>
        <v>0</v>
      </c>
      <c r="H90" s="402"/>
      <c r="I90" s="402"/>
    </row>
    <row r="91" spans="1:9" ht="12.75" customHeight="1" hidden="1">
      <c r="A91" s="6"/>
      <c r="B91" s="29">
        <v>2272</v>
      </c>
      <c r="C91" s="30" t="s">
        <v>54</v>
      </c>
      <c r="D91" s="34">
        <f>'2019-3 СВОД'!D547</f>
        <v>0</v>
      </c>
      <c r="E91" s="34">
        <f>'2019-3 СВОД'!E547</f>
        <v>0</v>
      </c>
      <c r="F91" s="34">
        <f>'2019-3 СВОД'!F547</f>
        <v>0</v>
      </c>
      <c r="G91" s="34">
        <f>'2019-3 СВОД'!G547</f>
        <v>0</v>
      </c>
      <c r="H91" s="402"/>
      <c r="I91" s="402"/>
    </row>
    <row r="92" spans="1:9" ht="12.75" customHeight="1" hidden="1">
      <c r="A92" s="6"/>
      <c r="B92" s="29">
        <v>2273</v>
      </c>
      <c r="C92" s="30" t="s">
        <v>55</v>
      </c>
      <c r="D92" s="34">
        <f>'2019-3 СВОД'!D548</f>
        <v>0</v>
      </c>
      <c r="E92" s="34">
        <f>'2019-3 СВОД'!E548</f>
        <v>0</v>
      </c>
      <c r="F92" s="34">
        <f>'2019-3 СВОД'!F548</f>
        <v>0</v>
      </c>
      <c r="G92" s="34">
        <f>'2019-3 СВОД'!G548</f>
        <v>0</v>
      </c>
      <c r="H92" s="402"/>
      <c r="I92" s="402"/>
    </row>
    <row r="93" spans="1:9" ht="12.75" customHeight="1" hidden="1">
      <c r="A93" s="6"/>
      <c r="B93" s="29">
        <v>2274</v>
      </c>
      <c r="C93" s="30" t="s">
        <v>56</v>
      </c>
      <c r="D93" s="34">
        <f>'2019-3 СВОД'!D549</f>
        <v>0</v>
      </c>
      <c r="E93" s="34">
        <f>'2019-3 СВОД'!E549</f>
        <v>0</v>
      </c>
      <c r="F93" s="34">
        <f>'2019-3 СВОД'!F549</f>
        <v>0</v>
      </c>
      <c r="G93" s="34">
        <f>'2019-3 СВОД'!G549</f>
        <v>0</v>
      </c>
      <c r="H93" s="402"/>
      <c r="I93" s="402"/>
    </row>
    <row r="94" spans="1:9" ht="12.75" customHeight="1" hidden="1">
      <c r="A94" s="6"/>
      <c r="B94" s="29">
        <v>2275</v>
      </c>
      <c r="C94" s="30" t="s">
        <v>57</v>
      </c>
      <c r="D94" s="34">
        <f>'2019-3 СВОД'!D550</f>
        <v>0</v>
      </c>
      <c r="E94" s="34">
        <f>'2019-3 СВОД'!E550</f>
        <v>0</v>
      </c>
      <c r="F94" s="34">
        <f>'2019-3 СВОД'!F550</f>
        <v>0</v>
      </c>
      <c r="G94" s="34">
        <f>'2019-3 СВОД'!G550</f>
        <v>0</v>
      </c>
      <c r="H94" s="402"/>
      <c r="I94" s="402"/>
    </row>
    <row r="95" spans="1:9" ht="12.75" customHeight="1" hidden="1">
      <c r="A95" s="6"/>
      <c r="B95" s="31">
        <v>2276</v>
      </c>
      <c r="C95" s="32" t="s">
        <v>58</v>
      </c>
      <c r="D95" s="34">
        <f>'2019-3 СВОД'!D551</f>
        <v>0</v>
      </c>
      <c r="E95" s="34">
        <f>'2019-3 СВОД'!E551</f>
        <v>0</v>
      </c>
      <c r="F95" s="34">
        <f>'2019-3 СВОД'!F551</f>
        <v>0</v>
      </c>
      <c r="G95" s="34">
        <f>'2019-3 СВОД'!G551</f>
        <v>0</v>
      </c>
      <c r="H95" s="402"/>
      <c r="I95" s="402"/>
    </row>
    <row r="96" spans="1:9" ht="12.75" hidden="1">
      <c r="A96" s="6"/>
      <c r="B96" s="27">
        <v>2280</v>
      </c>
      <c r="C96" s="28" t="s">
        <v>59</v>
      </c>
      <c r="D96" s="33">
        <f>D97+D98</f>
        <v>0</v>
      </c>
      <c r="E96" s="33">
        <f>E97+E98</f>
        <v>0</v>
      </c>
      <c r="F96" s="33">
        <f>F97+F98</f>
        <v>0</v>
      </c>
      <c r="G96" s="33">
        <f>G97+G98</f>
        <v>0</v>
      </c>
      <c r="H96" s="402"/>
      <c r="I96" s="402"/>
    </row>
    <row r="97" spans="1:9" ht="12.75" hidden="1">
      <c r="A97" s="6"/>
      <c r="B97" s="29">
        <v>2281</v>
      </c>
      <c r="C97" s="30" t="s">
        <v>60</v>
      </c>
      <c r="D97" s="34">
        <f>'2019-3 СВОД'!D553</f>
        <v>0</v>
      </c>
      <c r="E97" s="34">
        <f>'2019-3 СВОД'!E553</f>
        <v>0</v>
      </c>
      <c r="F97" s="34">
        <f>'2019-3 СВОД'!F553</f>
        <v>0</v>
      </c>
      <c r="G97" s="34">
        <f>'2019-3 СВОД'!G553</f>
        <v>0</v>
      </c>
      <c r="H97" s="402"/>
      <c r="I97" s="402"/>
    </row>
    <row r="98" spans="1:9" ht="12.75" hidden="1">
      <c r="A98" s="6"/>
      <c r="B98" s="29">
        <v>2282</v>
      </c>
      <c r="C98" s="30" t="s">
        <v>61</v>
      </c>
      <c r="D98" s="34">
        <f>'2019-3 СВОД'!D554</f>
        <v>0</v>
      </c>
      <c r="E98" s="34">
        <f>'2019-3 СВОД'!E554</f>
        <v>0</v>
      </c>
      <c r="F98" s="34">
        <f>'2019-3 СВОД'!F554</f>
        <v>0</v>
      </c>
      <c r="G98" s="34">
        <f>'2019-3 СВОД'!G554</f>
        <v>0</v>
      </c>
      <c r="H98" s="402"/>
      <c r="I98" s="402"/>
    </row>
    <row r="99" spans="1:9" ht="12.75" customHeight="1" hidden="1">
      <c r="A99" s="6"/>
      <c r="B99" s="27">
        <v>2400</v>
      </c>
      <c r="C99" s="28" t="s">
        <v>62</v>
      </c>
      <c r="D99" s="34">
        <f>D100+D101</f>
        <v>0</v>
      </c>
      <c r="E99" s="34">
        <f>E100+E101</f>
        <v>0</v>
      </c>
      <c r="F99" s="34">
        <f>F100+F101</f>
        <v>0</v>
      </c>
      <c r="G99" s="34">
        <f>G100+G101</f>
        <v>0</v>
      </c>
      <c r="H99" s="402"/>
      <c r="I99" s="402"/>
    </row>
    <row r="100" spans="1:9" ht="12.75" customHeight="1" hidden="1">
      <c r="A100" s="6"/>
      <c r="B100" s="29">
        <v>2410</v>
      </c>
      <c r="C100" s="30" t="s">
        <v>63</v>
      </c>
      <c r="D100" s="34">
        <f>'2019-3 СВОД'!D556</f>
        <v>0</v>
      </c>
      <c r="E100" s="34">
        <f>'2019-3 СВОД'!E556</f>
        <v>0</v>
      </c>
      <c r="F100" s="34">
        <f>'2019-3 СВОД'!F556</f>
        <v>0</v>
      </c>
      <c r="G100" s="34">
        <f>'2019-3 СВОД'!G556</f>
        <v>0</v>
      </c>
      <c r="H100" s="402"/>
      <c r="I100" s="402"/>
    </row>
    <row r="101" spans="1:9" ht="12.75" customHeight="1" hidden="1">
      <c r="A101" s="6"/>
      <c r="B101" s="29">
        <v>2420</v>
      </c>
      <c r="C101" s="30" t="s">
        <v>64</v>
      </c>
      <c r="D101" s="34">
        <f>'2019-3 СВОД'!D557</f>
        <v>0</v>
      </c>
      <c r="E101" s="34">
        <f>'2019-3 СВОД'!E557</f>
        <v>0</v>
      </c>
      <c r="F101" s="34">
        <f>'2019-3 СВОД'!F557</f>
        <v>0</v>
      </c>
      <c r="G101" s="34">
        <f>'2019-3 СВОД'!G557</f>
        <v>0</v>
      </c>
      <c r="H101" s="402"/>
      <c r="I101" s="402"/>
    </row>
    <row r="102" spans="1:9" ht="12.75" customHeight="1">
      <c r="A102" s="6"/>
      <c r="B102" s="27">
        <v>2600</v>
      </c>
      <c r="C102" s="28" t="s">
        <v>65</v>
      </c>
      <c r="D102" s="33">
        <f>D103+D104+D105</f>
        <v>290.1</v>
      </c>
      <c r="E102" s="33">
        <f>E103+E104+E105</f>
        <v>593.8</v>
      </c>
      <c r="F102" s="33">
        <f>F103+F104+F105</f>
        <v>699.6</v>
      </c>
      <c r="G102" s="33">
        <f>G103+G104+G105</f>
        <v>0</v>
      </c>
      <c r="H102" s="402"/>
      <c r="I102" s="402"/>
    </row>
    <row r="103" spans="1:9" ht="12.75">
      <c r="A103" s="6"/>
      <c r="B103" s="29">
        <v>2610</v>
      </c>
      <c r="C103" s="30" t="s">
        <v>66</v>
      </c>
      <c r="D103" s="34">
        <f>'2019-3 СВОД'!D559</f>
        <v>290.1</v>
      </c>
      <c r="E103" s="34">
        <f>'2019-3 СВОД'!E559</f>
        <v>593.8</v>
      </c>
      <c r="F103" s="34">
        <f>'2019-3 СВОД'!F559</f>
        <v>699.6</v>
      </c>
      <c r="G103" s="34">
        <f>'2019-3 СВОД'!G559</f>
        <v>0</v>
      </c>
      <c r="H103" s="402"/>
      <c r="I103" s="402"/>
    </row>
    <row r="104" spans="1:9" ht="12.75" customHeight="1" hidden="1">
      <c r="A104" s="6"/>
      <c r="B104" s="29">
        <v>2620</v>
      </c>
      <c r="C104" s="30" t="s">
        <v>67</v>
      </c>
      <c r="D104" s="34">
        <f>'2019-3 СВОД'!D560</f>
        <v>0</v>
      </c>
      <c r="E104" s="34">
        <f>'2019-3 СВОД'!E560</f>
        <v>0</v>
      </c>
      <c r="F104" s="34">
        <f>'2019-3 СВОД'!F560</f>
        <v>0</v>
      </c>
      <c r="G104" s="34">
        <f>'2019-3 СВОД'!G560</f>
        <v>0</v>
      </c>
      <c r="H104" s="402"/>
      <c r="I104" s="402"/>
    </row>
    <row r="105" spans="1:9" ht="12.75" hidden="1">
      <c r="A105" s="6"/>
      <c r="B105" s="29">
        <v>2630</v>
      </c>
      <c r="C105" s="30" t="s">
        <v>68</v>
      </c>
      <c r="D105" s="34">
        <f>'2019-3 СВОД'!D561</f>
        <v>0</v>
      </c>
      <c r="E105" s="34">
        <f>'2019-3 СВОД'!E561</f>
        <v>0</v>
      </c>
      <c r="F105" s="34">
        <f>'2019-3 СВОД'!F561</f>
        <v>0</v>
      </c>
      <c r="G105" s="34">
        <f>'2019-3 СВОД'!G561</f>
        <v>0</v>
      </c>
      <c r="H105" s="402"/>
      <c r="I105" s="402"/>
    </row>
    <row r="106" spans="1:9" ht="12.75" customHeight="1" hidden="1">
      <c r="A106" s="6"/>
      <c r="B106" s="27">
        <v>2700</v>
      </c>
      <c r="C106" s="28" t="s">
        <v>69</v>
      </c>
      <c r="D106" s="33">
        <f>D107+D108+D109</f>
        <v>0</v>
      </c>
      <c r="E106" s="33">
        <f>E107+E108+E109</f>
        <v>0</v>
      </c>
      <c r="F106" s="33">
        <f>F107+F108+F109</f>
        <v>0</v>
      </c>
      <c r="G106" s="33">
        <f>G107+G108+G109</f>
        <v>0</v>
      </c>
      <c r="H106" s="402"/>
      <c r="I106" s="402"/>
    </row>
    <row r="107" spans="1:9" ht="12.75" customHeight="1" hidden="1">
      <c r="A107" s="6"/>
      <c r="B107" s="29">
        <v>2710</v>
      </c>
      <c r="C107" s="30" t="s">
        <v>70</v>
      </c>
      <c r="D107" s="34">
        <f>'2019-3 СВОД'!D563</f>
        <v>0</v>
      </c>
      <c r="E107" s="34">
        <f>'2019-3 СВОД'!E563</f>
        <v>0</v>
      </c>
      <c r="F107" s="34">
        <f>'2019-3 СВОД'!F563</f>
        <v>0</v>
      </c>
      <c r="G107" s="34">
        <f>'2019-3 СВОД'!G563</f>
        <v>0</v>
      </c>
      <c r="H107" s="402"/>
      <c r="I107" s="402"/>
    </row>
    <row r="108" spans="1:9" ht="12.75" customHeight="1" hidden="1">
      <c r="A108" s="6"/>
      <c r="B108" s="29">
        <v>2720</v>
      </c>
      <c r="C108" s="30" t="s">
        <v>71</v>
      </c>
      <c r="D108" s="34">
        <f>'2019-3 СВОД'!D564</f>
        <v>0</v>
      </c>
      <c r="E108" s="34">
        <f>'2019-3 СВОД'!E564</f>
        <v>0</v>
      </c>
      <c r="F108" s="34">
        <f>'2019-3 СВОД'!F564</f>
        <v>0</v>
      </c>
      <c r="G108" s="34">
        <f>'2019-3 СВОД'!G564</f>
        <v>0</v>
      </c>
      <c r="H108" s="402"/>
      <c r="I108" s="402"/>
    </row>
    <row r="109" spans="1:9" ht="12.75" customHeight="1" hidden="1">
      <c r="A109" s="6"/>
      <c r="B109" s="29">
        <v>2730</v>
      </c>
      <c r="C109" s="30" t="s">
        <v>72</v>
      </c>
      <c r="D109" s="34">
        <f>'2019-3 СВОД'!D565</f>
        <v>0</v>
      </c>
      <c r="E109" s="34">
        <f>'2019-3 СВОД'!E565</f>
        <v>0</v>
      </c>
      <c r="F109" s="34">
        <f>'2019-3 СВОД'!F565</f>
        <v>0</v>
      </c>
      <c r="G109" s="34">
        <f>'2019-3 СВОД'!G565</f>
        <v>0</v>
      </c>
      <c r="H109" s="402"/>
      <c r="I109" s="402"/>
    </row>
    <row r="110" spans="1:9" ht="12.75" customHeight="1" hidden="1">
      <c r="A110" s="6"/>
      <c r="B110" s="27">
        <v>2800</v>
      </c>
      <c r="C110" s="28" t="s">
        <v>73</v>
      </c>
      <c r="D110" s="34">
        <f>'2019-3 СВОД'!D566</f>
        <v>0</v>
      </c>
      <c r="E110" s="34">
        <f>'2019-3 СВОД'!E566</f>
        <v>0</v>
      </c>
      <c r="F110" s="34">
        <f>'2019-3 СВОД'!F566</f>
        <v>0</v>
      </c>
      <c r="G110" s="34">
        <f>'2019-3 СВОД'!G566</f>
        <v>0</v>
      </c>
      <c r="H110" s="402"/>
      <c r="I110" s="402"/>
    </row>
    <row r="111" spans="1:9" ht="12.75" hidden="1">
      <c r="A111" s="21"/>
      <c r="B111" s="27">
        <v>3000</v>
      </c>
      <c r="C111" s="28" t="s">
        <v>40</v>
      </c>
      <c r="D111" s="40">
        <f>D112+D126</f>
        <v>0</v>
      </c>
      <c r="E111" s="40">
        <f>E112+E126</f>
        <v>0</v>
      </c>
      <c r="F111" s="40">
        <f>F112+F126</f>
        <v>0</v>
      </c>
      <c r="G111" s="40">
        <f>G112+G126</f>
        <v>0</v>
      </c>
      <c r="H111" s="402"/>
      <c r="I111" s="402"/>
    </row>
    <row r="112" spans="1:9" ht="12.75" hidden="1">
      <c r="A112" s="21"/>
      <c r="B112" s="27">
        <v>3100</v>
      </c>
      <c r="C112" s="28" t="s">
        <v>41</v>
      </c>
      <c r="D112" s="40">
        <f>D113+D114+D117+D120+D124+D125+D126</f>
        <v>0</v>
      </c>
      <c r="E112" s="40">
        <f>E113+E114+E117+E120+E124+E125+E126</f>
        <v>0</v>
      </c>
      <c r="F112" s="40">
        <f>F113+F114+F117+F120+F124+F125+F126</f>
        <v>0</v>
      </c>
      <c r="G112" s="40">
        <f>G113+G114+G117+G120+G124+G125+G126</f>
        <v>0</v>
      </c>
      <c r="H112" s="402"/>
      <c r="I112" s="402"/>
    </row>
    <row r="113" spans="1:9" ht="12.75" hidden="1">
      <c r="A113" s="21"/>
      <c r="B113" s="29">
        <v>3110</v>
      </c>
      <c r="C113" s="30" t="s">
        <v>74</v>
      </c>
      <c r="D113" s="34">
        <f>'2019-3 СВОД'!D569</f>
        <v>0</v>
      </c>
      <c r="E113" s="34">
        <f>'2019-3 СВОД'!E569</f>
        <v>0</v>
      </c>
      <c r="F113" s="34">
        <f>'2019-3 СВОД'!F569</f>
        <v>0</v>
      </c>
      <c r="G113" s="34">
        <f>'2019-3 СВОД'!G569</f>
        <v>0</v>
      </c>
      <c r="H113" s="402"/>
      <c r="I113" s="402"/>
    </row>
    <row r="114" spans="1:9" ht="12.75" hidden="1">
      <c r="A114" s="21"/>
      <c r="B114" s="29">
        <v>3120</v>
      </c>
      <c r="C114" s="30" t="s">
        <v>75</v>
      </c>
      <c r="D114" s="40">
        <f>D115+D116</f>
        <v>0</v>
      </c>
      <c r="E114" s="40">
        <f>E115+E116</f>
        <v>0</v>
      </c>
      <c r="F114" s="40">
        <f>F115+F116</f>
        <v>0</v>
      </c>
      <c r="G114" s="40">
        <f>G115+G116</f>
        <v>0</v>
      </c>
      <c r="H114" s="402"/>
      <c r="I114" s="402"/>
    </row>
    <row r="115" spans="1:9" ht="12.75" hidden="1">
      <c r="A115" s="21"/>
      <c r="B115" s="29">
        <v>3121</v>
      </c>
      <c r="C115" s="30" t="s">
        <v>76</v>
      </c>
      <c r="D115" s="34">
        <f>'2019-3 СВОД'!D571</f>
        <v>0</v>
      </c>
      <c r="E115" s="34">
        <f>'2019-3 СВОД'!E571</f>
        <v>0</v>
      </c>
      <c r="F115" s="34">
        <f>'2019-3 СВОД'!F571</f>
        <v>0</v>
      </c>
      <c r="G115" s="34">
        <f>'2019-3 СВОД'!G571</f>
        <v>0</v>
      </c>
      <c r="H115" s="402"/>
      <c r="I115" s="402"/>
    </row>
    <row r="116" spans="1:9" ht="12.75" hidden="1">
      <c r="A116" s="21"/>
      <c r="B116" s="29">
        <v>3122</v>
      </c>
      <c r="C116" s="30" t="s">
        <v>77</v>
      </c>
      <c r="D116" s="34">
        <f>'2019-3 СВОД'!D572</f>
        <v>0</v>
      </c>
      <c r="E116" s="34">
        <f>'2019-3 СВОД'!E572</f>
        <v>0</v>
      </c>
      <c r="F116" s="34">
        <f>'2019-3 СВОД'!F572</f>
        <v>0</v>
      </c>
      <c r="G116" s="34">
        <f>'2019-3 СВОД'!G572</f>
        <v>0</v>
      </c>
      <c r="H116" s="402"/>
      <c r="I116" s="402"/>
    </row>
    <row r="117" spans="1:9" ht="12.75" hidden="1">
      <c r="A117" s="21"/>
      <c r="B117" s="29">
        <v>3130</v>
      </c>
      <c r="C117" s="30" t="s">
        <v>78</v>
      </c>
      <c r="D117" s="40">
        <f>D118+D119</f>
        <v>0</v>
      </c>
      <c r="E117" s="40">
        <f>E118+E119</f>
        <v>0</v>
      </c>
      <c r="F117" s="40">
        <f>F118+F119</f>
        <v>0</v>
      </c>
      <c r="G117" s="40">
        <f>G118+G119</f>
        <v>0</v>
      </c>
      <c r="H117" s="402"/>
      <c r="I117" s="402"/>
    </row>
    <row r="118" spans="1:9" ht="12.75" hidden="1">
      <c r="A118" s="21"/>
      <c r="B118" s="29">
        <v>3131</v>
      </c>
      <c r="C118" s="30" t="s">
        <v>79</v>
      </c>
      <c r="D118" s="34">
        <f>'2019-3 СВОД'!D574</f>
        <v>0</v>
      </c>
      <c r="E118" s="34">
        <f>'2019-3 СВОД'!E574</f>
        <v>0</v>
      </c>
      <c r="F118" s="34">
        <f>'2019-3 СВОД'!F574</f>
        <v>0</v>
      </c>
      <c r="G118" s="34">
        <f>'2019-3 СВОД'!G574</f>
        <v>0</v>
      </c>
      <c r="H118" s="402"/>
      <c r="I118" s="402"/>
    </row>
    <row r="119" spans="1:9" ht="12.75" hidden="1">
      <c r="A119" s="21"/>
      <c r="B119" s="29">
        <v>3132</v>
      </c>
      <c r="C119" s="30" t="s">
        <v>80</v>
      </c>
      <c r="D119" s="34">
        <f>'2019-3 СВОД'!D575</f>
        <v>0</v>
      </c>
      <c r="E119" s="34">
        <f>'2019-3 СВОД'!E575</f>
        <v>0</v>
      </c>
      <c r="F119" s="34">
        <f>'2019-3 СВОД'!F575</f>
        <v>0</v>
      </c>
      <c r="G119" s="34">
        <f>'2019-3 СВОД'!G575</f>
        <v>0</v>
      </c>
      <c r="H119" s="402"/>
      <c r="I119" s="402"/>
    </row>
    <row r="120" spans="1:9" ht="12.75" hidden="1">
      <c r="A120" s="21"/>
      <c r="B120" s="29">
        <v>3140</v>
      </c>
      <c r="C120" s="30" t="s">
        <v>81</v>
      </c>
      <c r="D120" s="40">
        <f>D121+D122+D123</f>
        <v>0</v>
      </c>
      <c r="E120" s="40">
        <f>E121+E122+E123</f>
        <v>0</v>
      </c>
      <c r="F120" s="40">
        <f>F121+F122+F123</f>
        <v>0</v>
      </c>
      <c r="G120" s="40">
        <f>G121+G122+G123</f>
        <v>0</v>
      </c>
      <c r="H120" s="402"/>
      <c r="I120" s="402"/>
    </row>
    <row r="121" spans="1:9" ht="12.75" hidden="1">
      <c r="A121" s="21"/>
      <c r="B121" s="29">
        <v>3141</v>
      </c>
      <c r="C121" s="30" t="s">
        <v>82</v>
      </c>
      <c r="D121" s="34">
        <f>'2019-3 СВОД'!D577</f>
        <v>0</v>
      </c>
      <c r="E121" s="34">
        <f>'2019-3 СВОД'!E577</f>
        <v>0</v>
      </c>
      <c r="F121" s="34">
        <f>'2019-3 СВОД'!F577</f>
        <v>0</v>
      </c>
      <c r="G121" s="34">
        <f>'2019-3 СВОД'!G577</f>
        <v>0</v>
      </c>
      <c r="H121" s="402"/>
      <c r="I121" s="402"/>
    </row>
    <row r="122" spans="1:9" ht="12.75" hidden="1">
      <c r="A122" s="21"/>
      <c r="B122" s="29">
        <v>3142</v>
      </c>
      <c r="C122" s="30" t="s">
        <v>83</v>
      </c>
      <c r="D122" s="34">
        <f>'2019-3 СВОД'!D578</f>
        <v>0</v>
      </c>
      <c r="E122" s="34">
        <f>'2019-3 СВОД'!E578</f>
        <v>0</v>
      </c>
      <c r="F122" s="34">
        <f>'2019-3 СВОД'!F578</f>
        <v>0</v>
      </c>
      <c r="G122" s="34">
        <f>'2019-3 СВОД'!G578</f>
        <v>0</v>
      </c>
      <c r="H122" s="402"/>
      <c r="I122" s="402"/>
    </row>
    <row r="123" spans="1:9" ht="12.75" hidden="1">
      <c r="A123" s="21"/>
      <c r="B123" s="29">
        <v>3143</v>
      </c>
      <c r="C123" s="30" t="s">
        <v>84</v>
      </c>
      <c r="D123" s="34">
        <f>'2019-3 СВОД'!D579</f>
        <v>0</v>
      </c>
      <c r="E123" s="34">
        <f>'2019-3 СВОД'!E579</f>
        <v>0</v>
      </c>
      <c r="F123" s="34">
        <f>'2019-3 СВОД'!F579</f>
        <v>0</v>
      </c>
      <c r="G123" s="34">
        <f>'2019-3 СВОД'!G579</f>
        <v>0</v>
      </c>
      <c r="H123" s="402"/>
      <c r="I123" s="402"/>
    </row>
    <row r="124" spans="1:9" ht="12.75" hidden="1">
      <c r="A124" s="21"/>
      <c r="B124" s="29">
        <v>3150</v>
      </c>
      <c r="C124" s="30" t="s">
        <v>85</v>
      </c>
      <c r="D124" s="34">
        <f>'2019-3 СВОД'!D580</f>
        <v>0</v>
      </c>
      <c r="E124" s="34">
        <f>'2019-3 СВОД'!E580</f>
        <v>0</v>
      </c>
      <c r="F124" s="34">
        <f>'2019-3 СВОД'!F580</f>
        <v>0</v>
      </c>
      <c r="G124" s="34">
        <f>'2019-3 СВОД'!G580</f>
        <v>0</v>
      </c>
      <c r="H124" s="402"/>
      <c r="I124" s="402"/>
    </row>
    <row r="125" spans="1:9" ht="12.75" hidden="1">
      <c r="A125" s="21"/>
      <c r="B125" s="29">
        <v>3160</v>
      </c>
      <c r="C125" s="30" t="s">
        <v>86</v>
      </c>
      <c r="D125" s="34">
        <f>'2019-3 СВОД'!D581</f>
        <v>0</v>
      </c>
      <c r="E125" s="34">
        <f>'2019-3 СВОД'!E581</f>
        <v>0</v>
      </c>
      <c r="F125" s="34">
        <f>'2019-3 СВОД'!F581</f>
        <v>0</v>
      </c>
      <c r="G125" s="34">
        <f>'2019-3 СВОД'!G581</f>
        <v>0</v>
      </c>
      <c r="H125" s="402"/>
      <c r="I125" s="402"/>
    </row>
    <row r="126" spans="1:9" ht="12.75" hidden="1">
      <c r="A126" s="21"/>
      <c r="B126" s="27">
        <v>3200</v>
      </c>
      <c r="C126" s="28" t="s">
        <v>87</v>
      </c>
      <c r="D126" s="40">
        <f>D127+D128+D129+D130</f>
        <v>0</v>
      </c>
      <c r="E126" s="40">
        <f>E127+E128+E129+E130</f>
        <v>0</v>
      </c>
      <c r="F126" s="40">
        <f>F127+F128+F129+F130</f>
        <v>0</v>
      </c>
      <c r="G126" s="40">
        <f>G127+G128+G129+G130</f>
        <v>0</v>
      </c>
      <c r="H126" s="402"/>
      <c r="I126" s="402"/>
    </row>
    <row r="127" spans="1:9" ht="12.75" hidden="1">
      <c r="A127" s="21"/>
      <c r="B127" s="29">
        <v>3210</v>
      </c>
      <c r="C127" s="30" t="s">
        <v>88</v>
      </c>
      <c r="D127" s="34">
        <f>'2019-3 СВОД'!D411</f>
        <v>0</v>
      </c>
      <c r="E127" s="34">
        <f>'2019-3 СВОД'!E411</f>
        <v>0</v>
      </c>
      <c r="F127" s="34">
        <f>'2019-3 СВОД'!F411</f>
        <v>0</v>
      </c>
      <c r="G127" s="34">
        <f>'2019-3 СВОД'!G411</f>
        <v>0</v>
      </c>
      <c r="H127" s="402"/>
      <c r="I127" s="402"/>
    </row>
    <row r="128" spans="1:9" ht="12.75" hidden="1">
      <c r="A128" s="21"/>
      <c r="B128" s="29">
        <v>3220</v>
      </c>
      <c r="C128" s="30" t="s">
        <v>89</v>
      </c>
      <c r="D128" s="34">
        <f>'2019-3 СВОД'!D584</f>
        <v>0</v>
      </c>
      <c r="E128" s="34">
        <f>'2019-3 СВОД'!E584</f>
        <v>0</v>
      </c>
      <c r="F128" s="34">
        <f>'2019-3 СВОД'!F584</f>
        <v>0</v>
      </c>
      <c r="G128" s="34">
        <f>'2019-3 СВОД'!G584</f>
        <v>0</v>
      </c>
      <c r="H128" s="402"/>
      <c r="I128" s="402"/>
    </row>
    <row r="129" spans="1:9" ht="12.75" hidden="1">
      <c r="A129" s="21"/>
      <c r="B129" s="29">
        <v>3230</v>
      </c>
      <c r="C129" s="30" t="s">
        <v>90</v>
      </c>
      <c r="D129" s="34">
        <f>'2019-3 СВОД'!D585</f>
        <v>0</v>
      </c>
      <c r="E129" s="34">
        <f>'2019-3 СВОД'!E585</f>
        <v>0</v>
      </c>
      <c r="F129" s="34">
        <f>'2019-3 СВОД'!F585</f>
        <v>0</v>
      </c>
      <c r="G129" s="34">
        <f>'2019-3 СВОД'!G585</f>
        <v>0</v>
      </c>
      <c r="H129" s="402"/>
      <c r="I129" s="402"/>
    </row>
    <row r="130" spans="1:9" ht="13.5" customHeight="1" hidden="1">
      <c r="A130" s="21"/>
      <c r="B130" s="29">
        <v>3240</v>
      </c>
      <c r="C130" s="30" t="s">
        <v>91</v>
      </c>
      <c r="D130" s="34">
        <f>'2019-3 СВОД'!D586</f>
        <v>0</v>
      </c>
      <c r="E130" s="34">
        <f>'2019-3 СВОД'!E586</f>
        <v>0</v>
      </c>
      <c r="F130" s="34">
        <f>'2019-3 СВОД'!F586</f>
        <v>0</v>
      </c>
      <c r="G130" s="34">
        <f>'2019-3 СВОД'!G586</f>
        <v>0</v>
      </c>
      <c r="H130" s="402"/>
      <c r="I130" s="402"/>
    </row>
    <row r="131" spans="1:9" s="19" customFormat="1" ht="13.5" customHeight="1">
      <c r="A131" s="7"/>
      <c r="B131" s="7"/>
      <c r="C131" s="20" t="s">
        <v>3</v>
      </c>
      <c r="D131" s="34">
        <f>D76+D111</f>
        <v>290.1</v>
      </c>
      <c r="E131" s="34">
        <f>E76+E111</f>
        <v>593.8</v>
      </c>
      <c r="F131" s="34">
        <f>F76+F111</f>
        <v>699.6</v>
      </c>
      <c r="G131" s="34">
        <f>G76+G111</f>
        <v>0</v>
      </c>
      <c r="H131" s="402"/>
      <c r="I131" s="402"/>
    </row>
    <row r="132" spans="1:8" ht="15">
      <c r="A132" s="115" t="s">
        <v>209</v>
      </c>
      <c r="B132" s="115" t="s">
        <v>209</v>
      </c>
      <c r="C132" s="115"/>
      <c r="D132" s="115"/>
      <c r="E132" s="115"/>
      <c r="F132" s="115"/>
      <c r="G132" s="115"/>
      <c r="H132" s="121"/>
    </row>
    <row r="133" spans="1:9" ht="15" customHeight="1">
      <c r="A133" s="444" t="s">
        <v>25</v>
      </c>
      <c r="B133" s="444"/>
      <c r="C133" s="444"/>
      <c r="D133" s="444"/>
      <c r="E133" s="444"/>
      <c r="F133" s="444"/>
      <c r="G133" s="444"/>
      <c r="H133" s="444"/>
      <c r="I133" s="444"/>
    </row>
    <row r="134" spans="1:9" ht="30" customHeight="1">
      <c r="A134" s="14" t="s">
        <v>20</v>
      </c>
      <c r="B134" s="8" t="s">
        <v>0</v>
      </c>
      <c r="C134" s="14" t="s">
        <v>1</v>
      </c>
      <c r="D134" s="14" t="s">
        <v>14</v>
      </c>
      <c r="E134" s="441" t="s">
        <v>15</v>
      </c>
      <c r="F134" s="441"/>
      <c r="G134" s="441"/>
      <c r="H134" s="14" t="s">
        <v>214</v>
      </c>
      <c r="I134" s="14" t="s">
        <v>215</v>
      </c>
    </row>
    <row r="135" spans="1:9" ht="13.5" thickBot="1">
      <c r="A135" s="17">
        <v>1</v>
      </c>
      <c r="B135" s="17">
        <v>1</v>
      </c>
      <c r="C135" s="38">
        <v>2</v>
      </c>
      <c r="D135" s="38">
        <v>3</v>
      </c>
      <c r="E135" s="427">
        <v>4</v>
      </c>
      <c r="F135" s="427"/>
      <c r="G135" s="427"/>
      <c r="H135" s="38">
        <v>5</v>
      </c>
      <c r="I135" s="38">
        <v>6</v>
      </c>
    </row>
    <row r="136" spans="1:9" s="55" customFormat="1" ht="13.5" thickTop="1">
      <c r="A136" s="54"/>
      <c r="B136" s="331">
        <v>1113240</v>
      </c>
      <c r="C136" s="329" t="s">
        <v>547</v>
      </c>
      <c r="D136" s="332"/>
      <c r="E136" s="451"/>
      <c r="F136" s="451"/>
      <c r="G136" s="451"/>
      <c r="H136" s="332"/>
      <c r="I136" s="332"/>
    </row>
    <row r="137" spans="1:9" s="153" customFormat="1" ht="12.75">
      <c r="A137" s="68"/>
      <c r="B137" s="331">
        <v>1113241</v>
      </c>
      <c r="C137" s="477" t="s">
        <v>548</v>
      </c>
      <c r="D137" s="478"/>
      <c r="E137" s="478"/>
      <c r="F137" s="478"/>
      <c r="G137" s="478"/>
      <c r="H137" s="478"/>
      <c r="I137" s="479"/>
    </row>
    <row r="138" spans="1:9" s="60" customFormat="1" ht="12.75">
      <c r="A138" s="58"/>
      <c r="B138" s="337"/>
      <c r="C138" s="455" t="s">
        <v>549</v>
      </c>
      <c r="D138" s="456"/>
      <c r="E138" s="456"/>
      <c r="F138" s="456"/>
      <c r="G138" s="456"/>
      <c r="H138" s="456"/>
      <c r="I138" s="457"/>
    </row>
    <row r="139" spans="1:9" s="60" customFormat="1" ht="12.75" customHeight="1">
      <c r="A139" s="58"/>
      <c r="B139" s="330"/>
      <c r="C139" s="61" t="s">
        <v>126</v>
      </c>
      <c r="D139" s="62"/>
      <c r="E139" s="427"/>
      <c r="F139" s="427"/>
      <c r="G139" s="427"/>
      <c r="H139" s="333"/>
      <c r="I139" s="333"/>
    </row>
    <row r="140" spans="1:9" s="60" customFormat="1" ht="12.75" customHeight="1">
      <c r="A140" s="58"/>
      <c r="B140" s="330"/>
      <c r="C140" s="63" t="s">
        <v>550</v>
      </c>
      <c r="D140" s="53" t="s">
        <v>124</v>
      </c>
      <c r="E140" s="452" t="s">
        <v>513</v>
      </c>
      <c r="F140" s="453" t="s">
        <v>513</v>
      </c>
      <c r="G140" s="454" t="s">
        <v>513</v>
      </c>
      <c r="H140" s="333">
        <v>1</v>
      </c>
      <c r="I140" s="333">
        <v>1</v>
      </c>
    </row>
    <row r="141" spans="1:9" s="60" customFormat="1" ht="12.75">
      <c r="A141" s="58"/>
      <c r="B141" s="330"/>
      <c r="C141" s="63" t="s">
        <v>551</v>
      </c>
      <c r="D141" s="53" t="s">
        <v>260</v>
      </c>
      <c r="E141" s="452" t="s">
        <v>552</v>
      </c>
      <c r="F141" s="453" t="s">
        <v>552</v>
      </c>
      <c r="G141" s="454" t="s">
        <v>552</v>
      </c>
      <c r="H141" s="333">
        <v>16</v>
      </c>
      <c r="I141" s="333">
        <v>16</v>
      </c>
    </row>
    <row r="142" spans="1:9" s="325" customFormat="1" ht="12.75">
      <c r="A142" s="323"/>
      <c r="B142" s="330"/>
      <c r="C142" s="63" t="s">
        <v>553</v>
      </c>
      <c r="D142" s="53" t="s">
        <v>124</v>
      </c>
      <c r="E142" s="452" t="s">
        <v>513</v>
      </c>
      <c r="F142" s="453" t="s">
        <v>513</v>
      </c>
      <c r="G142" s="454" t="s">
        <v>513</v>
      </c>
      <c r="H142" s="333">
        <v>15</v>
      </c>
      <c r="I142" s="333">
        <v>15</v>
      </c>
    </row>
    <row r="143" spans="1:9" s="325" customFormat="1" ht="12.75">
      <c r="A143" s="323"/>
      <c r="B143" s="330"/>
      <c r="C143" s="61" t="s">
        <v>136</v>
      </c>
      <c r="D143" s="62" t="s">
        <v>125</v>
      </c>
      <c r="E143" s="427"/>
      <c r="F143" s="427"/>
      <c r="G143" s="427"/>
      <c r="H143" s="333"/>
      <c r="I143" s="333"/>
    </row>
    <row r="144" spans="1:10" s="325" customFormat="1" ht="12.75">
      <c r="A144" s="323"/>
      <c r="B144" s="330"/>
      <c r="C144" s="63" t="s">
        <v>554</v>
      </c>
      <c r="D144" s="53" t="s">
        <v>138</v>
      </c>
      <c r="E144" s="452" t="s">
        <v>128</v>
      </c>
      <c r="F144" s="453"/>
      <c r="G144" s="454"/>
      <c r="H144" s="333">
        <v>60</v>
      </c>
      <c r="I144" s="333">
        <v>60</v>
      </c>
      <c r="J144" s="391">
        <f>J149+J166+J176+J189</f>
        <v>8466</v>
      </c>
    </row>
    <row r="145" spans="1:9" s="325" customFormat="1" ht="12.75">
      <c r="A145" s="323"/>
      <c r="B145" s="330"/>
      <c r="C145" s="63" t="s">
        <v>376</v>
      </c>
      <c r="D145" s="53"/>
      <c r="E145" s="452"/>
      <c r="F145" s="453"/>
      <c r="G145" s="454"/>
      <c r="H145" s="333" t="s">
        <v>125</v>
      </c>
      <c r="I145" s="333"/>
    </row>
    <row r="146" spans="1:9" s="325" customFormat="1" ht="12.75">
      <c r="A146" s="323"/>
      <c r="B146" s="330"/>
      <c r="C146" s="63" t="s">
        <v>555</v>
      </c>
      <c r="D146" s="53" t="s">
        <v>138</v>
      </c>
      <c r="E146" s="452" t="s">
        <v>128</v>
      </c>
      <c r="F146" s="453"/>
      <c r="G146" s="454"/>
      <c r="H146" s="333">
        <v>36</v>
      </c>
      <c r="I146" s="333">
        <v>36</v>
      </c>
    </row>
    <row r="147" spans="1:9" s="325" customFormat="1" ht="12.75">
      <c r="A147" s="323"/>
      <c r="B147" s="330"/>
      <c r="C147" s="63" t="s">
        <v>556</v>
      </c>
      <c r="D147" s="53" t="s">
        <v>138</v>
      </c>
      <c r="E147" s="452" t="s">
        <v>128</v>
      </c>
      <c r="F147" s="453"/>
      <c r="G147" s="454"/>
      <c r="H147" s="333">
        <v>24</v>
      </c>
      <c r="I147" s="333">
        <v>24</v>
      </c>
    </row>
    <row r="148" spans="1:9" s="325" customFormat="1" ht="12.75">
      <c r="A148" s="323"/>
      <c r="B148" s="330"/>
      <c r="C148" s="61" t="s">
        <v>143</v>
      </c>
      <c r="D148" s="62" t="s">
        <v>125</v>
      </c>
      <c r="E148" s="427"/>
      <c r="F148" s="427"/>
      <c r="G148" s="427"/>
      <c r="H148" s="333"/>
      <c r="I148" s="333"/>
    </row>
    <row r="149" spans="1:10" s="325" customFormat="1" ht="12.75">
      <c r="A149" s="323"/>
      <c r="B149" s="330"/>
      <c r="C149" s="200" t="s">
        <v>557</v>
      </c>
      <c r="D149" s="62" t="s">
        <v>145</v>
      </c>
      <c r="E149" s="481" t="s">
        <v>522</v>
      </c>
      <c r="F149" s="482" t="s">
        <v>522</v>
      </c>
      <c r="G149" s="483" t="s">
        <v>522</v>
      </c>
      <c r="H149" s="328">
        <f>J149/H142*1000</f>
        <v>147426.6666666667</v>
      </c>
      <c r="I149" s="328">
        <v>147426.6666666667</v>
      </c>
      <c r="J149" s="390">
        <v>2211.4</v>
      </c>
    </row>
    <row r="150" spans="1:9" s="325" customFormat="1" ht="12.75">
      <c r="A150" s="323"/>
      <c r="B150" s="330"/>
      <c r="C150" s="200" t="s">
        <v>558</v>
      </c>
      <c r="D150" s="62" t="s">
        <v>145</v>
      </c>
      <c r="E150" s="468" t="s">
        <v>522</v>
      </c>
      <c r="F150" s="469" t="s">
        <v>522</v>
      </c>
      <c r="G150" s="470" t="s">
        <v>522</v>
      </c>
      <c r="H150" s="328">
        <f>J149/H144*1000</f>
        <v>36856.66666666667</v>
      </c>
      <c r="I150" s="328">
        <v>36856.66666666667</v>
      </c>
    </row>
    <row r="151" spans="1:9" s="325" customFormat="1" ht="12.75">
      <c r="A151" s="323"/>
      <c r="B151" s="330"/>
      <c r="C151" s="61" t="s">
        <v>147</v>
      </c>
      <c r="D151" s="62" t="s">
        <v>125</v>
      </c>
      <c r="E151" s="427"/>
      <c r="F151" s="427"/>
      <c r="G151" s="427"/>
      <c r="H151" s="333"/>
      <c r="I151" s="333"/>
    </row>
    <row r="152" spans="1:9" s="325" customFormat="1" ht="26.25">
      <c r="A152" s="323"/>
      <c r="B152" s="330"/>
      <c r="C152" s="63" t="s">
        <v>559</v>
      </c>
      <c r="D152" s="53" t="s">
        <v>123</v>
      </c>
      <c r="E152" s="452" t="s">
        <v>146</v>
      </c>
      <c r="F152" s="453"/>
      <c r="G152" s="454"/>
      <c r="H152" s="333">
        <v>100</v>
      </c>
      <c r="I152" s="333">
        <v>100</v>
      </c>
    </row>
    <row r="153" spans="1:9" s="325" customFormat="1" ht="12.75">
      <c r="A153" s="323"/>
      <c r="B153" s="337"/>
      <c r="C153" s="455" t="s">
        <v>560</v>
      </c>
      <c r="D153" s="456"/>
      <c r="E153" s="456"/>
      <c r="F153" s="456"/>
      <c r="G153" s="456"/>
      <c r="H153" s="456"/>
      <c r="I153" s="457"/>
    </row>
    <row r="154" spans="1:9" s="325" customFormat="1" ht="12.75">
      <c r="A154" s="323"/>
      <c r="B154" s="330"/>
      <c r="C154" s="61" t="s">
        <v>327</v>
      </c>
      <c r="D154" s="62"/>
      <c r="E154" s="427"/>
      <c r="F154" s="427"/>
      <c r="G154" s="427"/>
      <c r="H154" s="333"/>
      <c r="I154" s="333"/>
    </row>
    <row r="155" spans="1:9" s="325" customFormat="1" ht="12.75">
      <c r="A155" s="323"/>
      <c r="B155" s="330"/>
      <c r="C155" s="334" t="s">
        <v>561</v>
      </c>
      <c r="D155" s="53" t="s">
        <v>124</v>
      </c>
      <c r="E155" s="452" t="s">
        <v>513</v>
      </c>
      <c r="F155" s="453" t="s">
        <v>513</v>
      </c>
      <c r="G155" s="454" t="s">
        <v>513</v>
      </c>
      <c r="H155" s="333">
        <v>1</v>
      </c>
      <c r="I155" s="333">
        <v>1</v>
      </c>
    </row>
    <row r="156" spans="1:9" s="325" customFormat="1" ht="12.75">
      <c r="A156" s="323"/>
      <c r="B156" s="330"/>
      <c r="C156" s="200" t="s">
        <v>562</v>
      </c>
      <c r="D156" s="53" t="s">
        <v>260</v>
      </c>
      <c r="E156" s="452" t="s">
        <v>552</v>
      </c>
      <c r="F156" s="453" t="s">
        <v>552</v>
      </c>
      <c r="G156" s="454" t="s">
        <v>552</v>
      </c>
      <c r="H156" s="333">
        <v>13</v>
      </c>
      <c r="I156" s="333">
        <v>13</v>
      </c>
    </row>
    <row r="157" spans="1:9" s="325" customFormat="1" ht="12.75">
      <c r="A157" s="323"/>
      <c r="B157" s="330"/>
      <c r="C157" s="334" t="s">
        <v>563</v>
      </c>
      <c r="D157" s="53" t="s">
        <v>124</v>
      </c>
      <c r="E157" s="452" t="s">
        <v>513</v>
      </c>
      <c r="F157" s="453" t="s">
        <v>513</v>
      </c>
      <c r="G157" s="454" t="s">
        <v>513</v>
      </c>
      <c r="H157" s="333">
        <v>60</v>
      </c>
      <c r="I157" s="333">
        <v>60</v>
      </c>
    </row>
    <row r="158" spans="1:9" s="325" customFormat="1" ht="12.75">
      <c r="A158" s="323"/>
      <c r="B158" s="330"/>
      <c r="C158" s="61" t="s">
        <v>329</v>
      </c>
      <c r="D158" s="62" t="s">
        <v>125</v>
      </c>
      <c r="E158" s="427"/>
      <c r="F158" s="427"/>
      <c r="G158" s="427"/>
      <c r="H158" s="333"/>
      <c r="I158" s="333"/>
    </row>
    <row r="159" spans="1:9" s="325" customFormat="1" ht="12.75">
      <c r="A159" s="323"/>
      <c r="B159" s="330"/>
      <c r="C159" s="334" t="s">
        <v>564</v>
      </c>
      <c r="D159" s="53" t="s">
        <v>138</v>
      </c>
      <c r="E159" s="452" t="s">
        <v>128</v>
      </c>
      <c r="F159" s="453"/>
      <c r="G159" s="454"/>
      <c r="H159" s="333">
        <v>60</v>
      </c>
      <c r="I159" s="335">
        <v>60</v>
      </c>
    </row>
    <row r="160" spans="1:9" s="325" customFormat="1" ht="12.75">
      <c r="A160" s="323"/>
      <c r="B160" s="330"/>
      <c r="C160" s="200" t="s">
        <v>376</v>
      </c>
      <c r="D160" s="53"/>
      <c r="E160" s="452"/>
      <c r="F160" s="453"/>
      <c r="G160" s="454"/>
      <c r="H160" s="333"/>
      <c r="I160" s="333"/>
    </row>
    <row r="161" spans="1:9" s="325" customFormat="1" ht="12.75">
      <c r="A161" s="323"/>
      <c r="B161" s="330"/>
      <c r="C161" s="200" t="s">
        <v>555</v>
      </c>
      <c r="D161" s="53" t="s">
        <v>138</v>
      </c>
      <c r="E161" s="452" t="s">
        <v>128</v>
      </c>
      <c r="F161" s="453"/>
      <c r="G161" s="454"/>
      <c r="H161" s="333">
        <v>36</v>
      </c>
      <c r="I161" s="333">
        <v>36</v>
      </c>
    </row>
    <row r="162" spans="1:9" s="60" customFormat="1" ht="12.75">
      <c r="A162" s="58"/>
      <c r="B162" s="330"/>
      <c r="C162" s="200" t="s">
        <v>556</v>
      </c>
      <c r="D162" s="53" t="s">
        <v>138</v>
      </c>
      <c r="E162" s="452" t="s">
        <v>128</v>
      </c>
      <c r="F162" s="453"/>
      <c r="G162" s="454"/>
      <c r="H162" s="333">
        <v>24</v>
      </c>
      <c r="I162" s="333">
        <v>24</v>
      </c>
    </row>
    <row r="163" spans="1:9" s="60" customFormat="1" ht="12.75" customHeight="1">
      <c r="A163" s="58"/>
      <c r="B163" s="330"/>
      <c r="C163" s="61" t="s">
        <v>331</v>
      </c>
      <c r="D163" s="62" t="s">
        <v>125</v>
      </c>
      <c r="E163" s="427"/>
      <c r="F163" s="427"/>
      <c r="G163" s="427"/>
      <c r="H163" s="333"/>
      <c r="I163" s="333"/>
    </row>
    <row r="164" spans="1:11" s="60" customFormat="1" ht="12.75" customHeight="1">
      <c r="A164" s="58"/>
      <c r="B164" s="330"/>
      <c r="C164" s="200" t="s">
        <v>565</v>
      </c>
      <c r="D164" s="62" t="s">
        <v>145</v>
      </c>
      <c r="E164" s="481" t="s">
        <v>522</v>
      </c>
      <c r="F164" s="482" t="s">
        <v>522</v>
      </c>
      <c r="G164" s="483" t="s">
        <v>522</v>
      </c>
      <c r="H164" s="328">
        <f>J166/H157*1000</f>
        <v>38511.666666666664</v>
      </c>
      <c r="I164" s="328">
        <f>I165</f>
        <v>67545</v>
      </c>
      <c r="J164" s="60">
        <f>2310700/H159</f>
        <v>38511.666666666664</v>
      </c>
      <c r="K164" s="325">
        <f>(2310700+(G19-198)*1000)/I159</f>
        <v>67545</v>
      </c>
    </row>
    <row r="165" spans="1:9" s="60" customFormat="1" ht="12.75" customHeight="1">
      <c r="A165" s="58"/>
      <c r="B165" s="330"/>
      <c r="C165" s="200" t="s">
        <v>558</v>
      </c>
      <c r="D165" s="62" t="s">
        <v>145</v>
      </c>
      <c r="E165" s="468" t="s">
        <v>522</v>
      </c>
      <c r="F165" s="469" t="s">
        <v>522</v>
      </c>
      <c r="G165" s="470" t="s">
        <v>522</v>
      </c>
      <c r="H165" s="328">
        <f>H164</f>
        <v>38511.666666666664</v>
      </c>
      <c r="I165" s="328">
        <f>K164</f>
        <v>67545</v>
      </c>
    </row>
    <row r="166" spans="1:10" s="60" customFormat="1" ht="12.75">
      <c r="A166" s="58"/>
      <c r="B166" s="330"/>
      <c r="C166" s="61" t="s">
        <v>147</v>
      </c>
      <c r="D166" s="62" t="s">
        <v>125</v>
      </c>
      <c r="E166" s="427"/>
      <c r="F166" s="427"/>
      <c r="G166" s="427"/>
      <c r="H166" s="333"/>
      <c r="I166" s="333"/>
      <c r="J166" s="60">
        <v>2310.7</v>
      </c>
    </row>
    <row r="167" spans="1:9" s="60" customFormat="1" ht="12.75" customHeight="1">
      <c r="A167" s="58"/>
      <c r="B167" s="330"/>
      <c r="C167" s="63" t="s">
        <v>566</v>
      </c>
      <c r="D167" s="53" t="s">
        <v>123</v>
      </c>
      <c r="E167" s="452" t="s">
        <v>146</v>
      </c>
      <c r="F167" s="453"/>
      <c r="G167" s="454"/>
      <c r="H167" s="333">
        <v>100</v>
      </c>
      <c r="I167" s="333">
        <v>100</v>
      </c>
    </row>
    <row r="168" spans="1:9" s="60" customFormat="1" ht="12.75" customHeight="1">
      <c r="A168" s="58"/>
      <c r="B168" s="337"/>
      <c r="C168" s="455" t="s">
        <v>567</v>
      </c>
      <c r="D168" s="456"/>
      <c r="E168" s="456"/>
      <c r="F168" s="456"/>
      <c r="G168" s="456"/>
      <c r="H168" s="456"/>
      <c r="I168" s="457"/>
    </row>
    <row r="169" spans="1:9" s="60" customFormat="1" ht="12.75" customHeight="1">
      <c r="A169" s="58"/>
      <c r="B169" s="330"/>
      <c r="C169" s="299" t="s">
        <v>327</v>
      </c>
      <c r="D169" s="62"/>
      <c r="E169" s="268"/>
      <c r="F169" s="269"/>
      <c r="G169" s="270"/>
      <c r="H169" s="333"/>
      <c r="I169" s="333"/>
    </row>
    <row r="170" spans="1:9" s="60" customFormat="1" ht="12.75" customHeight="1">
      <c r="A170" s="58"/>
      <c r="B170" s="330"/>
      <c r="C170" s="63" t="s">
        <v>568</v>
      </c>
      <c r="D170" s="53" t="s">
        <v>124</v>
      </c>
      <c r="E170" s="452" t="s">
        <v>513</v>
      </c>
      <c r="F170" s="453" t="s">
        <v>513</v>
      </c>
      <c r="G170" s="454" t="s">
        <v>513</v>
      </c>
      <c r="H170" s="333">
        <v>1</v>
      </c>
      <c r="I170" s="333">
        <v>1</v>
      </c>
    </row>
    <row r="171" spans="1:9" s="60" customFormat="1" ht="12.75" customHeight="1">
      <c r="A171" s="58"/>
      <c r="B171" s="330"/>
      <c r="C171" s="63" t="s">
        <v>569</v>
      </c>
      <c r="D171" s="53" t="s">
        <v>260</v>
      </c>
      <c r="E171" s="452" t="s">
        <v>552</v>
      </c>
      <c r="F171" s="453" t="s">
        <v>552</v>
      </c>
      <c r="G171" s="454" t="s">
        <v>552</v>
      </c>
      <c r="H171" s="333">
        <v>12.5</v>
      </c>
      <c r="I171" s="333">
        <v>12.5</v>
      </c>
    </row>
    <row r="172" spans="1:9" s="325" customFormat="1" ht="12.75">
      <c r="A172" s="323"/>
      <c r="B172" s="330"/>
      <c r="C172" s="63" t="s">
        <v>570</v>
      </c>
      <c r="D172" s="53" t="s">
        <v>124</v>
      </c>
      <c r="E172" s="452" t="s">
        <v>513</v>
      </c>
      <c r="F172" s="453" t="s">
        <v>513</v>
      </c>
      <c r="G172" s="454" t="s">
        <v>513</v>
      </c>
      <c r="H172" s="333">
        <v>16</v>
      </c>
      <c r="I172" s="333">
        <v>16</v>
      </c>
    </row>
    <row r="173" spans="1:9" s="325" customFormat="1" ht="12.75">
      <c r="A173" s="323"/>
      <c r="B173" s="330"/>
      <c r="C173" s="299" t="s">
        <v>329</v>
      </c>
      <c r="D173" s="62" t="s">
        <v>125</v>
      </c>
      <c r="E173" s="268"/>
      <c r="F173" s="269"/>
      <c r="G173" s="270"/>
      <c r="H173" s="333" t="s">
        <v>125</v>
      </c>
      <c r="I173" s="333"/>
    </row>
    <row r="174" spans="1:9" s="325" customFormat="1" ht="12.75">
      <c r="A174" s="323"/>
      <c r="B174" s="330"/>
      <c r="C174" s="63" t="s">
        <v>571</v>
      </c>
      <c r="D174" s="53" t="s">
        <v>138</v>
      </c>
      <c r="E174" s="452" t="s">
        <v>513</v>
      </c>
      <c r="F174" s="453"/>
      <c r="G174" s="454"/>
      <c r="H174" s="333">
        <v>16</v>
      </c>
      <c r="I174" s="333">
        <v>16</v>
      </c>
    </row>
    <row r="175" spans="1:9" s="325" customFormat="1" ht="12.75">
      <c r="A175" s="323"/>
      <c r="B175" s="330"/>
      <c r="C175" s="299" t="s">
        <v>331</v>
      </c>
      <c r="D175" s="53"/>
      <c r="E175" s="268"/>
      <c r="F175" s="269"/>
      <c r="G175" s="270"/>
      <c r="H175" s="333" t="s">
        <v>125</v>
      </c>
      <c r="I175" s="333"/>
    </row>
    <row r="176" spans="1:11" s="325" customFormat="1" ht="12.75">
      <c r="A176" s="323"/>
      <c r="B176" s="330"/>
      <c r="C176" s="63" t="s">
        <v>572</v>
      </c>
      <c r="D176" s="62" t="s">
        <v>145</v>
      </c>
      <c r="E176" s="481" t="s">
        <v>522</v>
      </c>
      <c r="F176" s="482" t="s">
        <v>522</v>
      </c>
      <c r="G176" s="483" t="s">
        <v>522</v>
      </c>
      <c r="H176" s="336">
        <f>J176*1000/H172</f>
        <v>150593.75</v>
      </c>
      <c r="I176" s="336">
        <f>K176*1000/I172</f>
        <v>154968.75</v>
      </c>
      <c r="J176" s="325">
        <v>2409.5</v>
      </c>
      <c r="K176" s="325">
        <f>J176+70</f>
        <v>2479.5</v>
      </c>
    </row>
    <row r="177" spans="1:9" s="325" customFormat="1" ht="12.75">
      <c r="A177" s="323"/>
      <c r="B177" s="330"/>
      <c r="C177" s="63" t="s">
        <v>558</v>
      </c>
      <c r="D177" s="62" t="s">
        <v>145</v>
      </c>
      <c r="E177" s="468" t="s">
        <v>522</v>
      </c>
      <c r="F177" s="469" t="s">
        <v>522</v>
      </c>
      <c r="G177" s="470" t="s">
        <v>522</v>
      </c>
      <c r="H177" s="336">
        <v>150593.75</v>
      </c>
      <c r="I177" s="336">
        <f>I176</f>
        <v>154968.75</v>
      </c>
    </row>
    <row r="178" spans="1:9" s="325" customFormat="1" ht="12.75">
      <c r="A178" s="323"/>
      <c r="B178" s="330"/>
      <c r="C178" s="61" t="s">
        <v>147</v>
      </c>
      <c r="D178" s="62" t="s">
        <v>125</v>
      </c>
      <c r="E178" s="427"/>
      <c r="F178" s="427"/>
      <c r="G178" s="427"/>
      <c r="H178" s="333" t="s">
        <v>125</v>
      </c>
      <c r="I178" s="333"/>
    </row>
    <row r="179" spans="1:9" s="325" customFormat="1" ht="26.25">
      <c r="A179" s="323"/>
      <c r="B179" s="330"/>
      <c r="C179" s="63" t="s">
        <v>573</v>
      </c>
      <c r="D179" s="53" t="s">
        <v>123</v>
      </c>
      <c r="E179" s="452" t="s">
        <v>146</v>
      </c>
      <c r="F179" s="453"/>
      <c r="G179" s="454"/>
      <c r="H179" s="333">
        <v>100</v>
      </c>
      <c r="I179" s="333">
        <v>100</v>
      </c>
    </row>
    <row r="180" spans="1:9" s="325" customFormat="1" ht="12.75">
      <c r="A180" s="323"/>
      <c r="B180" s="337"/>
      <c r="C180" s="455" t="s">
        <v>574</v>
      </c>
      <c r="D180" s="456"/>
      <c r="E180" s="456"/>
      <c r="F180" s="456"/>
      <c r="G180" s="456"/>
      <c r="H180" s="456"/>
      <c r="I180" s="457"/>
    </row>
    <row r="181" spans="1:9" s="325" customFormat="1" ht="12.75">
      <c r="A181" s="323"/>
      <c r="B181" s="330"/>
      <c r="C181" s="299" t="s">
        <v>327</v>
      </c>
      <c r="D181" s="53"/>
      <c r="E181" s="268"/>
      <c r="F181" s="269"/>
      <c r="G181" s="270"/>
      <c r="H181" s="333"/>
      <c r="I181" s="333"/>
    </row>
    <row r="182" spans="1:9" s="325" customFormat="1" ht="26.25">
      <c r="A182" s="323"/>
      <c r="B182" s="330"/>
      <c r="C182" s="63" t="s">
        <v>575</v>
      </c>
      <c r="D182" s="53" t="s">
        <v>124</v>
      </c>
      <c r="E182" s="452" t="s">
        <v>513</v>
      </c>
      <c r="F182" s="453" t="s">
        <v>513</v>
      </c>
      <c r="G182" s="454" t="s">
        <v>513</v>
      </c>
      <c r="H182" s="333">
        <v>1</v>
      </c>
      <c r="I182" s="333">
        <v>1</v>
      </c>
    </row>
    <row r="183" spans="1:9" s="325" customFormat="1" ht="26.25">
      <c r="A183" s="323"/>
      <c r="B183" s="330"/>
      <c r="C183" s="63" t="s">
        <v>576</v>
      </c>
      <c r="D183" s="53" t="s">
        <v>260</v>
      </c>
      <c r="E183" s="452" t="s">
        <v>552</v>
      </c>
      <c r="F183" s="453" t="s">
        <v>552</v>
      </c>
      <c r="G183" s="454" t="s">
        <v>552</v>
      </c>
      <c r="H183" s="333">
        <v>13.5</v>
      </c>
      <c r="I183" s="333">
        <v>13.5</v>
      </c>
    </row>
    <row r="184" spans="1:9" s="325" customFormat="1" ht="26.25">
      <c r="A184" s="323"/>
      <c r="B184" s="330"/>
      <c r="C184" s="63" t="s">
        <v>577</v>
      </c>
      <c r="D184" s="53" t="s">
        <v>124</v>
      </c>
      <c r="E184" s="452" t="s">
        <v>513</v>
      </c>
      <c r="F184" s="453" t="s">
        <v>513</v>
      </c>
      <c r="G184" s="454" t="s">
        <v>513</v>
      </c>
      <c r="H184" s="333" t="s">
        <v>125</v>
      </c>
      <c r="I184" s="333"/>
    </row>
    <row r="185" spans="1:9" s="325" customFormat="1" ht="12.75">
      <c r="A185" s="323"/>
      <c r="B185" s="330"/>
      <c r="C185" s="299" t="s">
        <v>329</v>
      </c>
      <c r="D185" s="53"/>
      <c r="E185" s="268"/>
      <c r="F185" s="269"/>
      <c r="G185" s="270"/>
      <c r="H185" s="333" t="s">
        <v>125</v>
      </c>
      <c r="I185" s="333"/>
    </row>
    <row r="186" spans="1:9" s="325" customFormat="1" ht="26.25">
      <c r="A186" s="323"/>
      <c r="B186" s="330"/>
      <c r="C186" s="63" t="s">
        <v>578</v>
      </c>
      <c r="D186" s="53" t="s">
        <v>260</v>
      </c>
      <c r="E186" s="452" t="s">
        <v>513</v>
      </c>
      <c r="F186" s="453"/>
      <c r="G186" s="454"/>
      <c r="H186" s="333">
        <v>250</v>
      </c>
      <c r="I186" s="333">
        <v>250</v>
      </c>
    </row>
    <row r="187" spans="1:9" s="325" customFormat="1" ht="12.75">
      <c r="A187" s="323"/>
      <c r="B187" s="330"/>
      <c r="C187" s="299" t="s">
        <v>331</v>
      </c>
      <c r="D187" s="53"/>
      <c r="E187" s="268"/>
      <c r="F187" s="269"/>
      <c r="G187" s="270"/>
      <c r="H187" s="333" t="s">
        <v>125</v>
      </c>
      <c r="I187" s="333"/>
    </row>
    <row r="188" spans="1:9" s="325" customFormat="1" ht="26.25">
      <c r="A188" s="323"/>
      <c r="B188" s="330"/>
      <c r="C188" s="63" t="s">
        <v>579</v>
      </c>
      <c r="D188" s="53" t="s">
        <v>145</v>
      </c>
      <c r="E188" s="481" t="s">
        <v>522</v>
      </c>
      <c r="F188" s="482" t="s">
        <v>522</v>
      </c>
      <c r="G188" s="483" t="s">
        <v>522</v>
      </c>
      <c r="H188" s="333" t="s">
        <v>125</v>
      </c>
      <c r="I188" s="333"/>
    </row>
    <row r="189" spans="1:11" s="325" customFormat="1" ht="26.25">
      <c r="A189" s="323"/>
      <c r="B189" s="330"/>
      <c r="C189" s="63" t="s">
        <v>580</v>
      </c>
      <c r="D189" s="53" t="s">
        <v>145</v>
      </c>
      <c r="E189" s="468" t="s">
        <v>522</v>
      </c>
      <c r="F189" s="469" t="s">
        <v>522</v>
      </c>
      <c r="G189" s="470" t="s">
        <v>522</v>
      </c>
      <c r="H189" s="333">
        <f>J189*1000/H186</f>
        <v>6137.6</v>
      </c>
      <c r="I189" s="333">
        <f>K189*1000/I186</f>
        <v>6929.6</v>
      </c>
      <c r="J189" s="325">
        <v>1534.4</v>
      </c>
      <c r="K189" s="325">
        <f>1534.4+198</f>
        <v>1732.4</v>
      </c>
    </row>
    <row r="190" spans="1:9" s="325" customFormat="1" ht="12.75">
      <c r="A190" s="323"/>
      <c r="B190" s="330"/>
      <c r="C190" s="299" t="s">
        <v>333</v>
      </c>
      <c r="D190" s="53"/>
      <c r="E190" s="466"/>
      <c r="F190" s="466"/>
      <c r="G190" s="466"/>
      <c r="H190" s="333" t="s">
        <v>125</v>
      </c>
      <c r="I190" s="333"/>
    </row>
    <row r="191" spans="1:9" s="325" customFormat="1" ht="39">
      <c r="A191" s="323"/>
      <c r="B191" s="330"/>
      <c r="C191" s="63" t="s">
        <v>581</v>
      </c>
      <c r="D191" s="62" t="s">
        <v>123</v>
      </c>
      <c r="E191" s="452" t="s">
        <v>146</v>
      </c>
      <c r="F191" s="453"/>
      <c r="G191" s="454"/>
      <c r="H191" s="333">
        <v>100</v>
      </c>
      <c r="I191" s="333">
        <v>100</v>
      </c>
    </row>
    <row r="192" spans="1:9" s="325" customFormat="1" ht="12.75">
      <c r="A192" s="323"/>
      <c r="B192" s="331">
        <v>1113242</v>
      </c>
      <c r="C192" s="477" t="s">
        <v>582</v>
      </c>
      <c r="D192" s="478"/>
      <c r="E192" s="478"/>
      <c r="F192" s="478"/>
      <c r="G192" s="478"/>
      <c r="H192" s="478"/>
      <c r="I192" s="479"/>
    </row>
    <row r="193" spans="1:9" s="60" customFormat="1" ht="12.75">
      <c r="A193" s="58"/>
      <c r="B193" s="337"/>
      <c r="C193" s="455" t="s">
        <v>583</v>
      </c>
      <c r="D193" s="456"/>
      <c r="E193" s="456"/>
      <c r="F193" s="456"/>
      <c r="G193" s="456"/>
      <c r="H193" s="456"/>
      <c r="I193" s="457"/>
    </row>
    <row r="194" spans="1:9" s="60" customFormat="1" ht="12.75" customHeight="1">
      <c r="A194" s="58"/>
      <c r="B194" s="330"/>
      <c r="C194" s="299" t="s">
        <v>327</v>
      </c>
      <c r="D194" s="53"/>
      <c r="E194" s="268"/>
      <c r="F194" s="269"/>
      <c r="G194" s="270"/>
      <c r="H194" s="333"/>
      <c r="I194" s="333"/>
    </row>
    <row r="195" spans="1:9" s="60" customFormat="1" ht="12.75">
      <c r="A195" s="58"/>
      <c r="B195" s="330"/>
      <c r="C195" s="63" t="s">
        <v>584</v>
      </c>
      <c r="D195" s="62" t="s">
        <v>260</v>
      </c>
      <c r="E195" s="468" t="s">
        <v>552</v>
      </c>
      <c r="F195" s="469"/>
      <c r="G195" s="470"/>
      <c r="H195" s="338">
        <v>3</v>
      </c>
      <c r="I195" s="338">
        <v>3</v>
      </c>
    </row>
    <row r="196" spans="1:9" s="60" customFormat="1" ht="12.75" customHeight="1">
      <c r="A196" s="58"/>
      <c r="B196" s="330"/>
      <c r="C196" s="299" t="s">
        <v>329</v>
      </c>
      <c r="D196" s="62"/>
      <c r="E196" s="271"/>
      <c r="F196" s="272"/>
      <c r="G196" s="273"/>
      <c r="H196" s="333"/>
      <c r="I196" s="333"/>
    </row>
    <row r="197" spans="1:9" s="153" customFormat="1" ht="12.75" customHeight="1">
      <c r="A197" s="68"/>
      <c r="B197" s="330"/>
      <c r="C197" s="63" t="s">
        <v>585</v>
      </c>
      <c r="D197" s="62" t="s">
        <v>145</v>
      </c>
      <c r="E197" s="468" t="s">
        <v>522</v>
      </c>
      <c r="F197" s="469"/>
      <c r="G197" s="470"/>
      <c r="H197" s="333">
        <v>699600</v>
      </c>
      <c r="I197" s="333">
        <v>699600</v>
      </c>
    </row>
    <row r="198" spans="1:9" s="60" customFormat="1" ht="12.75">
      <c r="A198" s="58"/>
      <c r="B198" s="330"/>
      <c r="C198" s="299" t="s">
        <v>331</v>
      </c>
      <c r="D198" s="62"/>
      <c r="E198" s="271"/>
      <c r="F198" s="272"/>
      <c r="G198" s="273"/>
      <c r="H198" s="333"/>
      <c r="I198" s="333"/>
    </row>
    <row r="199" spans="1:9" s="60" customFormat="1" ht="12.75" customHeight="1">
      <c r="A199" s="58"/>
      <c r="B199" s="330"/>
      <c r="C199" s="63" t="s">
        <v>586</v>
      </c>
      <c r="D199" s="62" t="s">
        <v>145</v>
      </c>
      <c r="E199" s="468" t="s">
        <v>522</v>
      </c>
      <c r="F199" s="469"/>
      <c r="G199" s="470"/>
      <c r="H199" s="338">
        <v>233200</v>
      </c>
      <c r="I199" s="338">
        <v>233200</v>
      </c>
    </row>
    <row r="200" spans="1:9" s="60" customFormat="1" ht="12.75">
      <c r="A200" s="58"/>
      <c r="B200" s="330"/>
      <c r="C200" s="299" t="s">
        <v>333</v>
      </c>
      <c r="D200" s="62"/>
      <c r="E200" s="271"/>
      <c r="F200" s="272"/>
      <c r="G200" s="273"/>
      <c r="H200" s="333"/>
      <c r="I200" s="333"/>
    </row>
    <row r="201" spans="1:9" s="60" customFormat="1" ht="12.75" customHeight="1">
      <c r="A201" s="58"/>
      <c r="B201" s="330"/>
      <c r="C201" s="63" t="s">
        <v>587</v>
      </c>
      <c r="D201" s="62" t="s">
        <v>123</v>
      </c>
      <c r="E201" s="468" t="s">
        <v>522</v>
      </c>
      <c r="F201" s="469"/>
      <c r="G201" s="470"/>
      <c r="H201" s="338">
        <v>100</v>
      </c>
      <c r="I201" s="338">
        <v>100</v>
      </c>
    </row>
    <row r="202" ht="12.75">
      <c r="A202" s="22"/>
    </row>
    <row r="203" spans="1:9" ht="30.75" customHeight="1">
      <c r="A203" s="444" t="s">
        <v>27</v>
      </c>
      <c r="B203" s="444"/>
      <c r="C203" s="444"/>
      <c r="D203" s="444"/>
      <c r="E203" s="444"/>
      <c r="F203" s="444"/>
      <c r="G203" s="444"/>
      <c r="H203" s="444"/>
      <c r="I203" s="444"/>
    </row>
    <row r="204" spans="1:9" ht="15">
      <c r="A204" s="446"/>
      <c r="B204" s="446"/>
      <c r="C204" s="446"/>
      <c r="D204" s="446"/>
      <c r="E204" s="446"/>
      <c r="F204" s="446"/>
      <c r="G204" s="446"/>
      <c r="H204" s="446"/>
      <c r="I204" s="446"/>
    </row>
    <row r="205" spans="1:9" ht="15">
      <c r="A205" s="446"/>
      <c r="B205" s="446"/>
      <c r="C205" s="446"/>
      <c r="D205" s="446"/>
      <c r="E205" s="446"/>
      <c r="F205" s="446"/>
      <c r="G205" s="446"/>
      <c r="H205" s="446"/>
      <c r="I205" s="446"/>
    </row>
    <row r="206" spans="1:9" ht="15">
      <c r="A206" s="442" t="s">
        <v>210</v>
      </c>
      <c r="B206" s="442"/>
      <c r="C206" s="442"/>
      <c r="D206" s="442"/>
      <c r="E206" s="442"/>
      <c r="F206" s="442"/>
      <c r="G206" s="442"/>
      <c r="H206" s="442"/>
      <c r="I206" s="442"/>
    </row>
    <row r="207" ht="12.75">
      <c r="I207" s="2" t="s">
        <v>4</v>
      </c>
    </row>
    <row r="208" spans="1:9" s="19" customFormat="1" ht="12.75">
      <c r="A208" s="443" t="s">
        <v>3</v>
      </c>
      <c r="B208" s="443"/>
      <c r="C208" s="23"/>
      <c r="D208" s="18"/>
      <c r="E208" s="18"/>
      <c r="F208" s="18"/>
      <c r="G208" s="18"/>
      <c r="H208" s="443"/>
      <c r="I208" s="443"/>
    </row>
    <row r="209" ht="12.75">
      <c r="A209" s="3"/>
    </row>
    <row r="210" spans="1:9" ht="30.75" customHeight="1">
      <c r="A210" s="444" t="s">
        <v>211</v>
      </c>
      <c r="B210" s="444"/>
      <c r="C210" s="444"/>
      <c r="D210" s="444"/>
      <c r="E210" s="444"/>
      <c r="F210" s="444"/>
      <c r="G210" s="444"/>
      <c r="H210" s="444"/>
      <c r="I210" s="444"/>
    </row>
    <row r="211" ht="12.75">
      <c r="I211" s="2" t="s">
        <v>4</v>
      </c>
    </row>
    <row r="212" spans="1:9" ht="36.75" customHeight="1">
      <c r="A212" s="441" t="s">
        <v>23</v>
      </c>
      <c r="B212" s="441"/>
      <c r="C212" s="441" t="s">
        <v>1</v>
      </c>
      <c r="D212" s="441" t="s">
        <v>7</v>
      </c>
      <c r="E212" s="441"/>
      <c r="F212" s="441" t="s">
        <v>178</v>
      </c>
      <c r="G212" s="441"/>
      <c r="H212" s="441" t="s">
        <v>212</v>
      </c>
      <c r="I212" s="441"/>
    </row>
    <row r="213" spans="1:9" ht="36" customHeight="1">
      <c r="A213" s="441"/>
      <c r="B213" s="441"/>
      <c r="C213" s="441"/>
      <c r="D213" s="14" t="s">
        <v>28</v>
      </c>
      <c r="E213" s="14" t="s">
        <v>36</v>
      </c>
      <c r="F213" s="14" t="s">
        <v>28</v>
      </c>
      <c r="G213" s="14" t="s">
        <v>36</v>
      </c>
      <c r="H213" s="441"/>
      <c r="I213" s="441"/>
    </row>
    <row r="214" spans="1:9" ht="13.5" thickBot="1">
      <c r="A214" s="445">
        <v>1</v>
      </c>
      <c r="B214" s="445"/>
      <c r="C214" s="17">
        <v>2</v>
      </c>
      <c r="D214" s="16">
        <v>3</v>
      </c>
      <c r="E214" s="16">
        <v>4</v>
      </c>
      <c r="F214" s="16">
        <v>5</v>
      </c>
      <c r="G214" s="16">
        <v>6</v>
      </c>
      <c r="H214" s="445">
        <v>7</v>
      </c>
      <c r="I214" s="445"/>
    </row>
    <row r="215" spans="1:9" ht="13.5" thickTop="1">
      <c r="A215" s="447"/>
      <c r="B215" s="447"/>
      <c r="C215" s="15"/>
      <c r="D215" s="25"/>
      <c r="E215" s="25"/>
      <c r="F215" s="25"/>
      <c r="G215" s="25"/>
      <c r="H215" s="440"/>
      <c r="I215" s="440"/>
    </row>
    <row r="216" spans="1:9" ht="12.75">
      <c r="A216" s="402"/>
      <c r="B216" s="402"/>
      <c r="C216" s="12"/>
      <c r="D216" s="11"/>
      <c r="E216" s="11"/>
      <c r="F216" s="11"/>
      <c r="G216" s="11"/>
      <c r="H216" s="427"/>
      <c r="I216" s="427"/>
    </row>
    <row r="217" spans="1:9" ht="12.75">
      <c r="A217" s="402"/>
      <c r="B217" s="402"/>
      <c r="C217" s="12"/>
      <c r="D217" s="11"/>
      <c r="E217" s="11"/>
      <c r="F217" s="11"/>
      <c r="G217" s="11"/>
      <c r="H217" s="427"/>
      <c r="I217" s="427"/>
    </row>
    <row r="218" spans="1:9" ht="12.75">
      <c r="A218" s="402"/>
      <c r="B218" s="402"/>
      <c r="C218" s="12"/>
      <c r="D218" s="11"/>
      <c r="E218" s="11"/>
      <c r="F218" s="11"/>
      <c r="G218" s="11"/>
      <c r="H218" s="427"/>
      <c r="I218" s="427"/>
    </row>
    <row r="219" spans="1:9" ht="12.75">
      <c r="A219" s="402"/>
      <c r="B219" s="402"/>
      <c r="C219" s="12"/>
      <c r="D219" s="11"/>
      <c r="E219" s="11"/>
      <c r="F219" s="11"/>
      <c r="G219" s="11"/>
      <c r="H219" s="427"/>
      <c r="I219" s="427"/>
    </row>
    <row r="220" ht="15">
      <c r="A220" s="1"/>
    </row>
    <row r="221" spans="1:9" ht="14.25" customHeight="1">
      <c r="A221" s="444" t="s">
        <v>25</v>
      </c>
      <c r="B221" s="444"/>
      <c r="C221" s="444"/>
      <c r="D221" s="444"/>
      <c r="E221" s="444"/>
      <c r="F221" s="444"/>
      <c r="G221" s="444"/>
      <c r="H221" s="444"/>
      <c r="I221" s="444"/>
    </row>
    <row r="222" spans="1:9" ht="72.75" customHeight="1">
      <c r="A222" s="14" t="s">
        <v>20</v>
      </c>
      <c r="B222" s="8" t="s">
        <v>0</v>
      </c>
      <c r="C222" s="14" t="s">
        <v>1</v>
      </c>
      <c r="D222" s="14" t="s">
        <v>14</v>
      </c>
      <c r="E222" s="14" t="s">
        <v>15</v>
      </c>
      <c r="F222" s="14" t="s">
        <v>29</v>
      </c>
      <c r="G222" s="14" t="s">
        <v>30</v>
      </c>
      <c r="H222" s="14" t="s">
        <v>31</v>
      </c>
      <c r="I222" s="14" t="s">
        <v>32</v>
      </c>
    </row>
    <row r="223" spans="1:9" ht="13.5" thickBot="1">
      <c r="A223" s="17">
        <v>1</v>
      </c>
      <c r="B223" s="17">
        <v>2</v>
      </c>
      <c r="C223" s="16">
        <v>3</v>
      </c>
      <c r="D223" s="16">
        <v>4</v>
      </c>
      <c r="E223" s="16">
        <v>5</v>
      </c>
      <c r="F223" s="16">
        <v>6</v>
      </c>
      <c r="G223" s="16">
        <v>7</v>
      </c>
      <c r="H223" s="16">
        <v>8</v>
      </c>
      <c r="I223" s="16">
        <v>9</v>
      </c>
    </row>
    <row r="224" spans="1:9" ht="13.5" hidden="1" thickTop="1">
      <c r="A224" s="24"/>
      <c r="B224" s="26"/>
      <c r="C224" s="26" t="s">
        <v>10</v>
      </c>
      <c r="D224" s="24"/>
      <c r="E224" s="24"/>
      <c r="F224" s="24"/>
      <c r="G224" s="24"/>
      <c r="H224" s="24"/>
      <c r="I224" s="24"/>
    </row>
    <row r="225" spans="1:9" ht="13.5" hidden="1" thickTop="1">
      <c r="A225" s="18"/>
      <c r="B225" s="12"/>
      <c r="C225" s="12" t="s">
        <v>26</v>
      </c>
      <c r="D225" s="18"/>
      <c r="E225" s="18"/>
      <c r="F225" s="18"/>
      <c r="G225" s="18"/>
      <c r="H225" s="18"/>
      <c r="I225" s="18"/>
    </row>
    <row r="226" spans="1:9" ht="13.5" hidden="1" thickTop="1">
      <c r="A226" s="18"/>
      <c r="B226" s="12"/>
      <c r="C226" s="12" t="s">
        <v>16</v>
      </c>
      <c r="D226" s="18"/>
      <c r="E226" s="18"/>
      <c r="F226" s="18"/>
      <c r="G226" s="18"/>
      <c r="H226" s="18"/>
      <c r="I226" s="18"/>
    </row>
    <row r="227" spans="1:9" ht="13.5" hidden="1" thickTop="1">
      <c r="A227" s="18"/>
      <c r="B227" s="12"/>
      <c r="C227" s="12" t="s">
        <v>2</v>
      </c>
      <c r="D227" s="18"/>
      <c r="E227" s="18"/>
      <c r="F227" s="18"/>
      <c r="G227" s="18"/>
      <c r="H227" s="18"/>
      <c r="I227" s="18"/>
    </row>
    <row r="228" spans="1:9" ht="13.5" hidden="1" thickTop="1">
      <c r="A228" s="18"/>
      <c r="B228" s="12"/>
      <c r="C228" s="12" t="s">
        <v>17</v>
      </c>
      <c r="D228" s="18"/>
      <c r="E228" s="18"/>
      <c r="F228" s="18"/>
      <c r="G228" s="18"/>
      <c r="H228" s="18"/>
      <c r="I228" s="18"/>
    </row>
    <row r="229" spans="1:9" ht="13.5" hidden="1" thickTop="1">
      <c r="A229" s="18"/>
      <c r="B229" s="12"/>
      <c r="C229" s="12" t="s">
        <v>2</v>
      </c>
      <c r="D229" s="18"/>
      <c r="E229" s="18"/>
      <c r="F229" s="18"/>
      <c r="G229" s="18"/>
      <c r="H229" s="18"/>
      <c r="I229" s="18"/>
    </row>
    <row r="230" spans="1:9" ht="13.5" hidden="1" thickTop="1">
      <c r="A230" s="18"/>
      <c r="B230" s="12"/>
      <c r="C230" s="12" t="s">
        <v>18</v>
      </c>
      <c r="D230" s="18"/>
      <c r="E230" s="18"/>
      <c r="F230" s="18"/>
      <c r="G230" s="18"/>
      <c r="H230" s="18"/>
      <c r="I230" s="18"/>
    </row>
    <row r="231" spans="1:9" ht="13.5" hidden="1" thickTop="1">
      <c r="A231" s="18"/>
      <c r="B231" s="12"/>
      <c r="C231" s="12" t="s">
        <v>33</v>
      </c>
      <c r="D231" s="18"/>
      <c r="E231" s="18"/>
      <c r="F231" s="18"/>
      <c r="G231" s="18"/>
      <c r="H231" s="18"/>
      <c r="I231" s="18"/>
    </row>
    <row r="232" spans="1:9" ht="13.5" hidden="1" thickTop="1">
      <c r="A232" s="18"/>
      <c r="B232" s="12"/>
      <c r="C232" s="12" t="s">
        <v>19</v>
      </c>
      <c r="D232" s="18"/>
      <c r="E232" s="18"/>
      <c r="F232" s="18"/>
      <c r="G232" s="18"/>
      <c r="H232" s="18"/>
      <c r="I232" s="18"/>
    </row>
    <row r="233" spans="1:9" ht="13.5" hidden="1" thickTop="1">
      <c r="A233" s="18"/>
      <c r="B233" s="12"/>
      <c r="C233" s="12" t="s">
        <v>2</v>
      </c>
      <c r="D233" s="18"/>
      <c r="E233" s="18"/>
      <c r="F233" s="18"/>
      <c r="G233" s="18"/>
      <c r="H233" s="18"/>
      <c r="I233" s="18"/>
    </row>
    <row r="234" spans="1:9" ht="13.5" hidden="1" thickTop="1">
      <c r="A234" s="18"/>
      <c r="B234" s="13"/>
      <c r="C234" s="13" t="s">
        <v>11</v>
      </c>
      <c r="D234" s="18"/>
      <c r="E234" s="18"/>
      <c r="F234" s="18"/>
      <c r="G234" s="18"/>
      <c r="H234" s="18"/>
      <c r="I234" s="18"/>
    </row>
    <row r="235" spans="1:9" ht="13.5" thickTop="1">
      <c r="A235" s="18"/>
      <c r="B235" s="12"/>
      <c r="C235" s="12" t="s">
        <v>2</v>
      </c>
      <c r="D235" s="18"/>
      <c r="E235" s="18"/>
      <c r="F235" s="18"/>
      <c r="G235" s="18"/>
      <c r="H235" s="18"/>
      <c r="I235" s="18"/>
    </row>
    <row r="236" ht="12.75">
      <c r="A236" s="22"/>
    </row>
    <row r="237" spans="1:9" ht="30.75" customHeight="1">
      <c r="A237" s="444" t="s">
        <v>34</v>
      </c>
      <c r="B237" s="444"/>
      <c r="C237" s="444"/>
      <c r="D237" s="444"/>
      <c r="E237" s="444"/>
      <c r="F237" s="444"/>
      <c r="G237" s="444"/>
      <c r="H237" s="444"/>
      <c r="I237" s="444"/>
    </row>
    <row r="238" spans="1:9" ht="15">
      <c r="A238" s="446"/>
      <c r="B238" s="446"/>
      <c r="C238" s="446"/>
      <c r="D238" s="446"/>
      <c r="E238" s="446"/>
      <c r="F238" s="446"/>
      <c r="G238" s="446"/>
      <c r="H238" s="446"/>
      <c r="I238" s="446"/>
    </row>
    <row r="239" spans="1:9" ht="15">
      <c r="A239" s="442" t="s">
        <v>213</v>
      </c>
      <c r="B239" s="442"/>
      <c r="C239" s="442"/>
      <c r="D239" s="442"/>
      <c r="E239" s="442"/>
      <c r="F239" s="442"/>
      <c r="G239" s="442"/>
      <c r="H239" s="442"/>
      <c r="I239" s="442"/>
    </row>
    <row r="240" spans="1:9" ht="12.75">
      <c r="A240" s="2" t="s">
        <v>35</v>
      </c>
      <c r="I240" s="2" t="s">
        <v>4</v>
      </c>
    </row>
    <row r="241" spans="1:9" s="19" customFormat="1" ht="12.75">
      <c r="A241" s="443" t="s">
        <v>3</v>
      </c>
      <c r="B241" s="443"/>
      <c r="C241" s="23"/>
      <c r="D241" s="18"/>
      <c r="E241" s="18"/>
      <c r="F241" s="18"/>
      <c r="G241" s="18"/>
      <c r="H241" s="443"/>
      <c r="I241" s="443"/>
    </row>
    <row r="242" ht="12.75">
      <c r="A242" s="4"/>
    </row>
    <row r="243" ht="12.75">
      <c r="A243" s="4"/>
    </row>
    <row r="244" spans="1:9" ht="18.75" customHeight="1">
      <c r="A244" s="393" t="s">
        <v>159</v>
      </c>
      <c r="B244" s="393"/>
      <c r="C244" s="393"/>
      <c r="E244" s="392" t="s">
        <v>8</v>
      </c>
      <c r="F244" s="392"/>
      <c r="H244" s="392" t="s">
        <v>108</v>
      </c>
      <c r="I244" s="392"/>
    </row>
    <row r="245" spans="1:9" ht="15">
      <c r="A245" s="5"/>
      <c r="B245" s="5"/>
      <c r="E245" s="431" t="s">
        <v>5</v>
      </c>
      <c r="F245" s="431"/>
      <c r="H245" s="431" t="s">
        <v>6</v>
      </c>
      <c r="I245" s="431"/>
    </row>
    <row r="246" spans="1:8" ht="12.75" customHeight="1">
      <c r="A246" s="10"/>
      <c r="B246" s="10"/>
      <c r="E246" s="9"/>
      <c r="H246" s="9"/>
    </row>
    <row r="247" spans="1:9" ht="18.75" customHeight="1">
      <c r="A247" s="393" t="s">
        <v>107</v>
      </c>
      <c r="B247" s="393"/>
      <c r="C247" s="393"/>
      <c r="E247" s="392" t="s">
        <v>8</v>
      </c>
      <c r="F247" s="392"/>
      <c r="H247" s="392" t="s">
        <v>109</v>
      </c>
      <c r="I247" s="392"/>
    </row>
    <row r="248" spans="1:9" ht="15">
      <c r="A248" s="5"/>
      <c r="E248" s="431" t="s">
        <v>5</v>
      </c>
      <c r="F248" s="431"/>
      <c r="H248" s="431" t="s">
        <v>6</v>
      </c>
      <c r="I248" s="431"/>
    </row>
    <row r="249" ht="12.75">
      <c r="A249" s="4"/>
    </row>
    <row r="250" ht="12.75">
      <c r="A250" s="4"/>
    </row>
  </sheetData>
  <sheetProtection/>
  <mergeCells count="216">
    <mergeCell ref="H28:I29"/>
    <mergeCell ref="H32:I37"/>
    <mergeCell ref="A16:B16"/>
    <mergeCell ref="A1:I1"/>
    <mergeCell ref="A3:I3"/>
    <mergeCell ref="A4:I4"/>
    <mergeCell ref="B5:J5"/>
    <mergeCell ref="B6:J6"/>
    <mergeCell ref="B12:I12"/>
    <mergeCell ref="A14:B15"/>
    <mergeCell ref="C14:C15"/>
    <mergeCell ref="D14:D15"/>
    <mergeCell ref="E14:E15"/>
    <mergeCell ref="F14:G14"/>
    <mergeCell ref="H14:I15"/>
    <mergeCell ref="H16:I16"/>
    <mergeCell ref="H25:I25"/>
    <mergeCell ref="H26:I26"/>
    <mergeCell ref="H27:I27"/>
    <mergeCell ref="A203:I203"/>
    <mergeCell ref="H17:I17"/>
    <mergeCell ref="H18:I18"/>
    <mergeCell ref="H19:I19"/>
    <mergeCell ref="H30:I30"/>
    <mergeCell ref="H31:I31"/>
    <mergeCell ref="H20:I24"/>
    <mergeCell ref="A204:I204"/>
    <mergeCell ref="A205:I205"/>
    <mergeCell ref="A206:I206"/>
    <mergeCell ref="A208:B208"/>
    <mergeCell ref="H208:I208"/>
    <mergeCell ref="A210:I210"/>
    <mergeCell ref="A212:B213"/>
    <mergeCell ref="C212:C213"/>
    <mergeCell ref="D212:E212"/>
    <mergeCell ref="F212:G212"/>
    <mergeCell ref="H212:I213"/>
    <mergeCell ref="A214:B214"/>
    <mergeCell ref="H214:I214"/>
    <mergeCell ref="A215:B215"/>
    <mergeCell ref="H215:I215"/>
    <mergeCell ref="A216:B216"/>
    <mergeCell ref="H216:I216"/>
    <mergeCell ref="A217:B217"/>
    <mergeCell ref="H217:I217"/>
    <mergeCell ref="A218:B218"/>
    <mergeCell ref="H218:I218"/>
    <mergeCell ref="A219:B219"/>
    <mergeCell ref="H219:I219"/>
    <mergeCell ref="A221:I221"/>
    <mergeCell ref="A237:I237"/>
    <mergeCell ref="A238:I238"/>
    <mergeCell ref="A239:I239"/>
    <mergeCell ref="A241:B241"/>
    <mergeCell ref="H241:I241"/>
    <mergeCell ref="A244:C244"/>
    <mergeCell ref="E244:F244"/>
    <mergeCell ref="H244:I244"/>
    <mergeCell ref="E245:F245"/>
    <mergeCell ref="H245:I245"/>
    <mergeCell ref="A247:C247"/>
    <mergeCell ref="E247:F247"/>
    <mergeCell ref="H247:I247"/>
    <mergeCell ref="E248:F248"/>
    <mergeCell ref="H248:I248"/>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7:I57"/>
    <mergeCell ref="H54:I56"/>
    <mergeCell ref="H58:I58"/>
    <mergeCell ref="H59:I59"/>
    <mergeCell ref="H60:I60"/>
    <mergeCell ref="H61:I61"/>
    <mergeCell ref="E197:G197"/>
    <mergeCell ref="E199:G199"/>
    <mergeCell ref="E195:G195"/>
    <mergeCell ref="H68:I68"/>
    <mergeCell ref="H69:I69"/>
    <mergeCell ref="H70:I70"/>
    <mergeCell ref="E201:G201"/>
    <mergeCell ref="H62:I62"/>
    <mergeCell ref="H63:I63"/>
    <mergeCell ref="H64:I64"/>
    <mergeCell ref="H65:I65"/>
    <mergeCell ref="H66:I66"/>
    <mergeCell ref="H67:I67"/>
    <mergeCell ref="E134:G134"/>
    <mergeCell ref="C193:I193"/>
    <mergeCell ref="C192:I192"/>
    <mergeCell ref="H71:I71"/>
    <mergeCell ref="H72:I72"/>
    <mergeCell ref="H73:I73"/>
    <mergeCell ref="E135:G135"/>
    <mergeCell ref="H74:I74"/>
    <mergeCell ref="H75:I75"/>
    <mergeCell ref="H76:I76"/>
    <mergeCell ref="H77:I77"/>
    <mergeCell ref="H78:I78"/>
    <mergeCell ref="H79:I79"/>
    <mergeCell ref="E189:G189"/>
    <mergeCell ref="E190:G190"/>
    <mergeCell ref="E191:G191"/>
    <mergeCell ref="C180:I180"/>
    <mergeCell ref="E182:G182"/>
    <mergeCell ref="E183:G183"/>
    <mergeCell ref="E184:G184"/>
    <mergeCell ref="E186:G186"/>
    <mergeCell ref="E188:G188"/>
    <mergeCell ref="E177:G177"/>
    <mergeCell ref="E178:G178"/>
    <mergeCell ref="E179:G179"/>
    <mergeCell ref="H80:I80"/>
    <mergeCell ref="H81:I81"/>
    <mergeCell ref="H82:I82"/>
    <mergeCell ref="H83:I83"/>
    <mergeCell ref="H84:I84"/>
    <mergeCell ref="H85:I85"/>
    <mergeCell ref="A133:I133"/>
    <mergeCell ref="E172:G172"/>
    <mergeCell ref="E174:G174"/>
    <mergeCell ref="E176:G176"/>
    <mergeCell ref="H86:I86"/>
    <mergeCell ref="H87:I87"/>
    <mergeCell ref="H88:I88"/>
    <mergeCell ref="H89:I89"/>
    <mergeCell ref="H90:I90"/>
    <mergeCell ref="H91:I91"/>
    <mergeCell ref="C168:I168"/>
    <mergeCell ref="E170:G170"/>
    <mergeCell ref="E171:G171"/>
    <mergeCell ref="H92:I92"/>
    <mergeCell ref="H93:I93"/>
    <mergeCell ref="H94:I94"/>
    <mergeCell ref="H95:I95"/>
    <mergeCell ref="H96:I96"/>
    <mergeCell ref="H97:I97"/>
    <mergeCell ref="H98:I98"/>
    <mergeCell ref="H99:I99"/>
    <mergeCell ref="H100:I100"/>
    <mergeCell ref="H101:I101"/>
    <mergeCell ref="H102:I102"/>
    <mergeCell ref="H103:I103"/>
    <mergeCell ref="E167:G167"/>
    <mergeCell ref="E161:G161"/>
    <mergeCell ref="E162:G162"/>
    <mergeCell ref="E163:G163"/>
    <mergeCell ref="E164:G164"/>
    <mergeCell ref="E165:G165"/>
    <mergeCell ref="E166:G166"/>
    <mergeCell ref="C137:I137"/>
    <mergeCell ref="H104:I104"/>
    <mergeCell ref="H105:I105"/>
    <mergeCell ref="H106:I106"/>
    <mergeCell ref="H107:I107"/>
    <mergeCell ref="H108:I108"/>
    <mergeCell ref="H109:I109"/>
    <mergeCell ref="E158:G158"/>
    <mergeCell ref="E159:G159"/>
    <mergeCell ref="E160:G160"/>
    <mergeCell ref="C138:I138"/>
    <mergeCell ref="E139:G139"/>
    <mergeCell ref="E140:G140"/>
    <mergeCell ref="E136:G136"/>
    <mergeCell ref="H110:I110"/>
    <mergeCell ref="H111:I111"/>
    <mergeCell ref="H112:I112"/>
    <mergeCell ref="H113:I113"/>
    <mergeCell ref="H114:I114"/>
    <mergeCell ref="H115:I115"/>
    <mergeCell ref="E143:G143"/>
    <mergeCell ref="E144:G144"/>
    <mergeCell ref="E145:G145"/>
    <mergeCell ref="E146:G146"/>
    <mergeCell ref="E147:G147"/>
    <mergeCell ref="E141:G141"/>
    <mergeCell ref="E142:G142"/>
    <mergeCell ref="H116:I116"/>
    <mergeCell ref="H117:I117"/>
    <mergeCell ref="E155:G155"/>
    <mergeCell ref="E156:G156"/>
    <mergeCell ref="E157:G157"/>
    <mergeCell ref="E148:G148"/>
    <mergeCell ref="E151:G151"/>
    <mergeCell ref="E152:G152"/>
    <mergeCell ref="C153:I153"/>
    <mergeCell ref="E154:G154"/>
    <mergeCell ref="E149:G149"/>
    <mergeCell ref="E150:G150"/>
    <mergeCell ref="H118:I118"/>
    <mergeCell ref="H119:I119"/>
    <mergeCell ref="H120:I120"/>
    <mergeCell ref="H121:I121"/>
    <mergeCell ref="H122:I122"/>
    <mergeCell ref="H123:I123"/>
    <mergeCell ref="H124:I124"/>
    <mergeCell ref="H131:I131"/>
    <mergeCell ref="H125:I125"/>
    <mergeCell ref="H126:I126"/>
    <mergeCell ref="H127:I127"/>
    <mergeCell ref="H128:I128"/>
    <mergeCell ref="H129:I129"/>
    <mergeCell ref="H130:I130"/>
  </mergeCells>
  <printOptions horizontalCentered="1"/>
  <pageMargins left="0.2362204724409449" right="0.15748031496062992" top="0.1968503937007874" bottom="0.15748031496062992" header="0.1968503937007874" footer="0.11811023622047245"/>
  <pageSetup horizontalDpi="600" verticalDpi="600" orientation="landscape" paperSize="9" scale="75" r:id="rId1"/>
  <rowBreaks count="1" manualBreakCount="1">
    <brk id="20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den</cp:lastModifiedBy>
  <cp:lastPrinted>2018-11-12T12:29:04Z</cp:lastPrinted>
  <dcterms:created xsi:type="dcterms:W3CDTF">2017-06-20T08:12:17Z</dcterms:created>
  <dcterms:modified xsi:type="dcterms:W3CDTF">2019-02-19T07:36:18Z</dcterms:modified>
  <cp:category/>
  <cp:version/>
  <cp:contentType/>
  <cp:contentStatus/>
</cp:coreProperties>
</file>